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97B6878C-D40C-4046-AA87-84B92E846A01}" xr6:coauthVersionLast="43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НТО-1" sheetId="3" r:id="rId1"/>
    <sheet name="ОНТО-2" sheetId="1" r:id="rId2"/>
    <sheet name="ОНТЗ-1" sheetId="4" r:id="rId3"/>
    <sheet name="ОНТЗ-2" sheetId="5" r:id="rId4"/>
    <sheet name="995" sheetId="6" r:id="rId5"/>
    <sheet name="910" sheetId="2" r:id="rId6"/>
    <sheet name="ЦХөлс аймагт" sheetId="7" r:id="rId7"/>
    <sheet name="Sheet1" sheetId="8" r:id="rId8"/>
    <sheet name="Sheet2" sheetId="9" r:id="rId9"/>
    <sheet name="Sheet3" sheetId="10" r:id="rId10"/>
  </sheets>
  <externalReferences>
    <externalReference r:id="rId11"/>
  </externalReferences>
  <definedNames>
    <definedName name="_xlnm.Print_Area" localSheetId="1">'ОНТО-2'!$A$1:$F$41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C6" i="1"/>
  <c r="D25" i="1"/>
  <c r="C25" i="1"/>
  <c r="D34" i="1"/>
  <c r="D30" i="1" s="1"/>
  <c r="E15" i="1"/>
  <c r="F15" i="1"/>
  <c r="C10" i="1"/>
  <c r="C9" i="1" s="1"/>
  <c r="D20" i="1"/>
  <c r="C20" i="1"/>
  <c r="C30" i="1"/>
  <c r="D17" i="1"/>
  <c r="F17" i="1" s="1"/>
  <c r="C17" i="1"/>
  <c r="E34" i="1" l="1"/>
  <c r="C8" i="1"/>
  <c r="C7" i="1" s="1"/>
  <c r="E11" i="10"/>
  <c r="F11" i="10"/>
  <c r="G11" i="10"/>
  <c r="H11" i="10"/>
  <c r="I11" i="10"/>
  <c r="J11" i="10"/>
  <c r="K11" i="10"/>
  <c r="L11" i="10"/>
  <c r="M11" i="10"/>
  <c r="D11" i="10"/>
  <c r="E29" i="2"/>
  <c r="I21" i="2"/>
  <c r="O20" i="2"/>
  <c r="N20" i="2"/>
  <c r="M20" i="2"/>
  <c r="L20" i="2"/>
  <c r="K20" i="2"/>
  <c r="J20" i="2"/>
  <c r="H20" i="2"/>
  <c r="G20" i="2"/>
  <c r="F20" i="2"/>
  <c r="E20" i="2"/>
  <c r="E25" i="2" s="1"/>
  <c r="D20" i="2"/>
  <c r="C20" i="2"/>
  <c r="I18" i="2"/>
  <c r="B18" i="2"/>
  <c r="I17" i="2"/>
  <c r="B17" i="2"/>
  <c r="I16" i="2"/>
  <c r="B16" i="2"/>
  <c r="I15" i="2"/>
  <c r="B15" i="2"/>
  <c r="I14" i="2"/>
  <c r="B14" i="2"/>
  <c r="I13" i="2"/>
  <c r="B13" i="2"/>
  <c r="I12" i="2"/>
  <c r="B12" i="2"/>
  <c r="I11" i="2"/>
  <c r="B11" i="2"/>
  <c r="I10" i="2"/>
  <c r="B10" i="2"/>
  <c r="I9" i="2"/>
  <c r="B9" i="2"/>
  <c r="I8" i="2"/>
  <c r="B8" i="2"/>
  <c r="I7" i="2"/>
  <c r="B7" i="2"/>
  <c r="E9" i="3"/>
  <c r="D9" i="3"/>
  <c r="C9" i="3"/>
  <c r="F10" i="3"/>
  <c r="F14" i="3"/>
  <c r="C23" i="3"/>
  <c r="I20" i="2" l="1"/>
  <c r="I22" i="2" s="1"/>
  <c r="B20" i="2"/>
  <c r="B22" i="2"/>
  <c r="B23" i="2" s="1"/>
  <c r="C24" i="3"/>
  <c r="F19" i="4" l="1"/>
  <c r="D19" i="4" s="1"/>
  <c r="G19" i="4"/>
  <c r="H18" i="4"/>
  <c r="F18" i="4"/>
  <c r="F17" i="4"/>
  <c r="F13" i="4"/>
  <c r="D13" i="4" s="1"/>
  <c r="D9" i="4" l="1"/>
  <c r="B8" i="6" l="1"/>
  <c r="P17" i="6"/>
  <c r="P18" i="6" s="1"/>
  <c r="P20" i="6" s="1"/>
  <c r="D12" i="1"/>
  <c r="D10" i="1" s="1"/>
  <c r="G14" i="6"/>
  <c r="B14" i="6" s="1"/>
  <c r="L16" i="6"/>
  <c r="L15" i="6"/>
  <c r="L9" i="6"/>
  <c r="L7" i="6"/>
  <c r="L6" i="6"/>
  <c r="L18" i="6" s="1"/>
  <c r="H10" i="6"/>
  <c r="H15" i="6"/>
  <c r="H13" i="6"/>
  <c r="B13" i="6" s="1"/>
  <c r="H12" i="6"/>
  <c r="H11" i="6"/>
  <c r="B11" i="6" s="1"/>
  <c r="H9" i="6"/>
  <c r="H7" i="6"/>
  <c r="H6" i="6"/>
  <c r="N10" i="6"/>
  <c r="N9" i="6"/>
  <c r="K19" i="6"/>
  <c r="I19" i="6"/>
  <c r="M19" i="6"/>
  <c r="I18" i="6"/>
  <c r="J18" i="6"/>
  <c r="K18" i="6"/>
  <c r="G17" i="6"/>
  <c r="G16" i="6"/>
  <c r="G15" i="6"/>
  <c r="B15" i="6" s="1"/>
  <c r="G9" i="6"/>
  <c r="G6" i="6"/>
  <c r="E17" i="6"/>
  <c r="E16" i="6"/>
  <c r="B16" i="6" s="1"/>
  <c r="D12" i="6"/>
  <c r="C17" i="6"/>
  <c r="C10" i="6"/>
  <c r="C9" i="6"/>
  <c r="C7" i="6"/>
  <c r="E19" i="6"/>
  <c r="F19" i="6"/>
  <c r="G19" i="6"/>
  <c r="J19" i="6"/>
  <c r="L19" i="6"/>
  <c r="D19" i="6" l="1"/>
  <c r="B17" i="6"/>
  <c r="B7" i="6"/>
  <c r="B10" i="6"/>
  <c r="B9" i="6"/>
  <c r="B12" i="6"/>
  <c r="B6" i="6"/>
  <c r="B18" i="6" s="1"/>
  <c r="D13" i="8"/>
  <c r="F13" i="8" s="1"/>
  <c r="C13" i="8"/>
  <c r="E10" i="8"/>
  <c r="E11" i="8"/>
  <c r="E12" i="8"/>
  <c r="E9" i="8"/>
  <c r="E13" i="8" l="1"/>
  <c r="I19" i="7"/>
  <c r="H19" i="7"/>
  <c r="G19" i="7"/>
  <c r="F19" i="7"/>
  <c r="E19" i="7"/>
  <c r="D19" i="7"/>
  <c r="C18" i="7"/>
  <c r="C17" i="7"/>
  <c r="C16" i="7"/>
  <c r="C15" i="7"/>
  <c r="C14" i="7"/>
  <c r="C13" i="7"/>
  <c r="C12" i="7"/>
  <c r="C11" i="7"/>
  <c r="C10" i="7"/>
  <c r="C9" i="7"/>
  <c r="C8" i="7"/>
  <c r="C7" i="7"/>
  <c r="C19" i="7" l="1"/>
  <c r="D13" i="5" l="1"/>
  <c r="D19" i="5"/>
  <c r="D20" i="5" l="1"/>
  <c r="D22" i="5" s="1"/>
  <c r="F17" i="5"/>
  <c r="E17" i="5"/>
  <c r="F16" i="5"/>
  <c r="E16" i="5"/>
  <c r="F15" i="5"/>
  <c r="E15" i="5"/>
  <c r="C13" i="5"/>
  <c r="M21" i="4"/>
  <c r="D20" i="4"/>
  <c r="N20" i="4" s="1"/>
  <c r="N19" i="4"/>
  <c r="D18" i="4"/>
  <c r="N18" i="4" s="1"/>
  <c r="N19" i="6" l="1"/>
  <c r="H19" i="6"/>
  <c r="H18" i="6"/>
  <c r="D18" i="6"/>
  <c r="E18" i="6"/>
  <c r="F18" i="6"/>
  <c r="M18" i="6"/>
  <c r="N18" i="6"/>
  <c r="O18" i="6"/>
  <c r="O20" i="6" s="1"/>
  <c r="C18" i="6"/>
  <c r="C20" i="6" s="1"/>
  <c r="G18" i="6"/>
  <c r="N20" i="6" l="1"/>
  <c r="B19" i="6"/>
  <c r="M20" i="6"/>
  <c r="L20" i="6"/>
  <c r="J20" i="6"/>
  <c r="G20" i="6"/>
  <c r="F20" i="6"/>
  <c r="E20" i="6"/>
  <c r="D20" i="6"/>
  <c r="H20" i="6"/>
  <c r="C17" i="3"/>
  <c r="B20" i="6" l="1"/>
  <c r="F9" i="3" l="1"/>
  <c r="H13" i="3" s="1"/>
  <c r="D17" i="3"/>
  <c r="C19" i="5"/>
  <c r="N13" i="4"/>
  <c r="D14" i="4"/>
  <c r="N14" i="4" s="1"/>
  <c r="P13" i="4" l="1"/>
  <c r="O14" i="4"/>
  <c r="C20" i="5"/>
  <c r="C22" i="5" s="1"/>
  <c r="E17" i="3" l="1"/>
  <c r="E8" i="5" l="1"/>
  <c r="E9" i="5"/>
  <c r="E10" i="5"/>
  <c r="E11" i="5"/>
  <c r="E12" i="5"/>
  <c r="E13" i="5" l="1"/>
  <c r="D16" i="4"/>
  <c r="D17" i="4"/>
  <c r="F14" i="5" l="1"/>
  <c r="F9" i="5"/>
  <c r="F10" i="5"/>
  <c r="F11" i="5"/>
  <c r="F8" i="5"/>
  <c r="E14" i="5" l="1"/>
  <c r="E19" i="5" l="1"/>
  <c r="E20" i="5" s="1"/>
  <c r="E15" i="4" l="1"/>
  <c r="F15" i="4"/>
  <c r="G15" i="4"/>
  <c r="H15" i="4"/>
  <c r="I15" i="4"/>
  <c r="J15" i="4"/>
  <c r="K15" i="4"/>
  <c r="L15" i="4"/>
  <c r="C15" i="4"/>
  <c r="D10" i="4" l="1"/>
  <c r="D11" i="4"/>
  <c r="N17" i="4" l="1"/>
  <c r="N16" i="4"/>
  <c r="D21" i="4"/>
  <c r="E21" i="4"/>
  <c r="E22" i="4" s="1"/>
  <c r="F21" i="4"/>
  <c r="G21" i="4"/>
  <c r="H21" i="4"/>
  <c r="I21" i="4"/>
  <c r="J21" i="4"/>
  <c r="K21" i="4"/>
  <c r="K22" i="4" s="1"/>
  <c r="L21" i="4"/>
  <c r="C21" i="4"/>
  <c r="C22" i="4" s="1"/>
  <c r="N10" i="4"/>
  <c r="N11" i="4"/>
  <c r="D12" i="4"/>
  <c r="N9" i="4"/>
  <c r="M15" i="4"/>
  <c r="M22" i="4" s="1"/>
  <c r="D15" i="4" l="1"/>
  <c r="D22" i="4" s="1"/>
  <c r="N12" i="4"/>
  <c r="L22" i="4"/>
  <c r="H22" i="4"/>
  <c r="I22" i="4"/>
  <c r="G22" i="4"/>
  <c r="N21" i="4"/>
  <c r="J22" i="4"/>
  <c r="F22" i="4"/>
  <c r="E18" i="1"/>
  <c r="E17" i="1" s="1"/>
  <c r="F18" i="1"/>
  <c r="N15" i="4" l="1"/>
  <c r="N22" i="4" s="1"/>
  <c r="F26" i="3" l="1"/>
  <c r="F17" i="3"/>
  <c r="F14" i="1"/>
  <c r="E14" i="1"/>
  <c r="F34" i="1"/>
  <c r="E33" i="1"/>
  <c r="E32" i="1"/>
  <c r="F31" i="1"/>
  <c r="E31" i="1"/>
  <c r="F23" i="1"/>
  <c r="E23" i="1"/>
  <c r="E26" i="1"/>
  <c r="F29" i="1"/>
  <c r="E29" i="1"/>
  <c r="E28" i="1"/>
  <c r="F22" i="1"/>
  <c r="E22" i="1"/>
  <c r="F21" i="1"/>
  <c r="E21" i="1"/>
  <c r="F16" i="1"/>
  <c r="E16" i="1"/>
  <c r="F13" i="1"/>
  <c r="E13" i="1"/>
  <c r="F12" i="1"/>
  <c r="E12" i="1"/>
  <c r="F11" i="1"/>
  <c r="E11" i="1"/>
  <c r="E25" i="1" l="1"/>
  <c r="E30" i="1"/>
  <c r="E10" i="1"/>
  <c r="E20" i="1"/>
  <c r="F25" i="1"/>
  <c r="F20" i="1"/>
  <c r="D9" i="1"/>
  <c r="D8" i="1" s="1"/>
  <c r="D7" i="1" s="1"/>
  <c r="D6" i="1" s="1"/>
  <c r="F6" i="1" s="1"/>
  <c r="F18" i="3"/>
  <c r="F30" i="1"/>
  <c r="F9" i="1"/>
  <c r="E9" i="1" l="1"/>
  <c r="E8" i="1" s="1"/>
  <c r="E7" i="1" s="1"/>
  <c r="E6" i="1" s="1"/>
  <c r="F8" i="1"/>
  <c r="H10" i="1" l="1"/>
  <c r="F7" i="1"/>
  <c r="H30" i="1" l="1"/>
  <c r="H20" i="1"/>
</calcChain>
</file>

<file path=xl/sharedStrings.xml><?xml version="1.0" encoding="utf-8"?>
<sst xmlns="http://schemas.openxmlformats.org/spreadsheetml/2006/main" count="230" uniqueCount="170">
  <si>
    <t>Хавсралт №2</t>
  </si>
  <si>
    <t>/төгрөгөөр/</t>
  </si>
  <si>
    <t>¹</t>
  </si>
  <si>
    <t>Төлөвлөгөө</t>
  </si>
  <si>
    <t>Гүйцэтгэл</t>
  </si>
  <si>
    <t>Зөрүү</t>
  </si>
  <si>
    <t>Хувь</t>
  </si>
  <si>
    <t>А.Урсгал орлого</t>
  </si>
  <si>
    <t>I.Татварын орлого</t>
  </si>
  <si>
    <t>1.Орлогын албан татвар</t>
  </si>
  <si>
    <t xml:space="preserve">  1.1 ХАОАТатвар</t>
  </si>
  <si>
    <t xml:space="preserve">      Öàëèí õºëñ ò¿¿íòýé àäèëòãàõ îðëîãûí àëáàí òàòâàð</t>
  </si>
  <si>
    <t>2.Өмчийн татвар</t>
  </si>
  <si>
    <t>4.Бусад татвар</t>
  </si>
  <si>
    <t>II.Татварын бус орлого</t>
  </si>
  <si>
    <t>Тайлбар: Орон нутгийн төсвийн орлогын гүйцэтгэлийг 901, 995 тоот дансуудын хуулгыг үндэслэн орлогын нэр төрлөөр ангилж, тайлагнасан байна.Санхүү төрийн сангийн хэлтэс, Татварын хэлтэст өгсөн мэдээ, тайлан зөрж болохгүйг анхаарна уу.</t>
  </si>
  <si>
    <t>C1:</t>
  </si>
  <si>
    <t>Орлого</t>
  </si>
  <si>
    <t>Зарлага</t>
  </si>
  <si>
    <t>Сар</t>
  </si>
  <si>
    <t>Орлогын нийт дүн</t>
  </si>
  <si>
    <t>Бусад орлого-ОНХСангийн орлого</t>
  </si>
  <si>
    <t>сум хөгжүүлэх сан</t>
  </si>
  <si>
    <t>аймгийн ОНХ сангаас</t>
  </si>
  <si>
    <t>Зарлагын нийт дүн</t>
  </si>
  <si>
    <t>ИТХуралд</t>
  </si>
  <si>
    <t>ЗДТГ</t>
  </si>
  <si>
    <t>Дүн</t>
  </si>
  <si>
    <t>нэмэлт</t>
  </si>
  <si>
    <t>Нийт</t>
  </si>
  <si>
    <t>C2:</t>
  </si>
  <si>
    <t>СТ:</t>
  </si>
  <si>
    <t>ИТХурал</t>
  </si>
  <si>
    <t>Хүүхдийн цэцэрлэг</t>
  </si>
  <si>
    <t>Хавсралт №1</t>
  </si>
  <si>
    <t>№</t>
  </si>
  <si>
    <t>Үзүүлэлт</t>
  </si>
  <si>
    <t>Харилцах дансны оны эхний үлдэгдэл</t>
  </si>
  <si>
    <t>Харилцах дансны оны эцсийн үлдэгдэл</t>
  </si>
  <si>
    <t>Санхүүгийн дэмжлэгийн 972 тоот дансаар</t>
  </si>
  <si>
    <t>Орон нутгийн төсвийн орлого:</t>
  </si>
  <si>
    <t>Орон нутгийн татварын орлогын 995 тоот дансаар</t>
  </si>
  <si>
    <t>Цалин хөлс түүнтэй адилтгах орлогын албан татварын орлогын 901 тоот дансаар</t>
  </si>
  <si>
    <t xml:space="preserve"> 910 эхний үлдэгдлээс зарцуулсан</t>
  </si>
  <si>
    <t>БОСН санд төвлөрүүлсэн</t>
  </si>
  <si>
    <t>төсөвт байгууллагаас төвлөрүүлсэн</t>
  </si>
  <si>
    <t>нэмэлт санхүүжилтийн орлого</t>
  </si>
  <si>
    <t xml:space="preserve">Орон нутгийн ерөнхий орлогын дүн </t>
  </si>
  <si>
    <t>Нийт орлогын дүн 910 дансаар</t>
  </si>
  <si>
    <r>
      <t xml:space="preserve">Тайлбар:Энэ маягтанд тайлант оны сумын орон нутгийн төсвийн орлогын гүйцэтгэлийг үнэн зөв тусгаж, </t>
    </r>
    <r>
      <rPr>
        <b/>
        <sz val="10"/>
        <color indexed="8"/>
        <rFont val="Arial Mon"/>
        <family val="2"/>
      </rPr>
      <t>972</t>
    </r>
    <r>
      <rPr>
        <sz val="10"/>
        <color indexed="8"/>
        <rFont val="Arial Mon"/>
        <family val="2"/>
      </rPr>
      <t xml:space="preserve">, </t>
    </r>
    <r>
      <rPr>
        <b/>
        <sz val="10"/>
        <color indexed="8"/>
        <rFont val="Arial Mon"/>
        <family val="2"/>
      </rPr>
      <t>901,</t>
    </r>
    <r>
      <rPr>
        <sz val="10"/>
        <color indexed="8"/>
        <rFont val="Arial Mon"/>
        <family val="2"/>
      </rPr>
      <t xml:space="preserve"> </t>
    </r>
    <r>
      <rPr>
        <b/>
        <sz val="10"/>
        <color indexed="8"/>
        <rFont val="Arial Mon"/>
        <family val="2"/>
      </rPr>
      <t>995</t>
    </r>
    <r>
      <rPr>
        <sz val="10"/>
        <color indexed="8"/>
        <rFont val="Arial Mon"/>
        <family val="2"/>
      </rPr>
      <t xml:space="preserve">, </t>
    </r>
    <r>
      <rPr>
        <b/>
        <sz val="10"/>
        <color indexed="8"/>
        <rFont val="Arial Mon"/>
        <family val="2"/>
      </rPr>
      <t>910</t>
    </r>
    <r>
      <rPr>
        <sz val="10"/>
        <color indexed="8"/>
        <rFont val="Arial Mon"/>
        <family val="2"/>
      </rPr>
      <t xml:space="preserve"> тоот дансуудын орлого, зарлагын хуулгыг хэвлэж хавсаргах ба орон нутгийн төсвийн орлогын дэлгэрэнгүй бүртгэлийн журналыг хамт ирүүлнэ.</t>
    </r>
  </si>
  <si>
    <t>Хавсралт №3</t>
  </si>
  <si>
    <t>Байгууллагын нэр</t>
  </si>
  <si>
    <t>Зарлага санхүүжилтийн нийт дүн</t>
  </si>
  <si>
    <t>Орон нутгийн төсвийн орлогоос санхүүжүүлсэн</t>
  </si>
  <si>
    <t>Бусад орлого</t>
  </si>
  <si>
    <t>МЭҮЗардал</t>
  </si>
  <si>
    <t>Бүрэн дунд сургууль</t>
  </si>
  <si>
    <t>Эрүүл мэндийн төв</t>
  </si>
  <si>
    <t>Соёлын төв</t>
  </si>
  <si>
    <t>Тайлбар: Энэ маягтын орлого, зарлагын дүн нь ОНЗЗБайгууллагуудын Мөнгөн гүйлгээний тайлангийн дүнтэй тэнцүү байна.</t>
  </si>
  <si>
    <t>Хавсралт №4</t>
  </si>
  <si>
    <t>дүнгээр</t>
  </si>
  <si>
    <t>хувиар</t>
  </si>
  <si>
    <t>Сумын ИТХурал</t>
  </si>
  <si>
    <t>Сумын ЗДТГазар</t>
  </si>
  <si>
    <t>ОНХСан</t>
  </si>
  <si>
    <t>Орон нутгийн дүн</t>
  </si>
  <si>
    <t>Тусгай шилжүүлгийн дүн</t>
  </si>
  <si>
    <t>Нийт дүн</t>
  </si>
  <si>
    <t>Аудит</t>
  </si>
  <si>
    <t xml:space="preserve">БЭЛТГЭСЭН:АУДИТОР                                     Ж.НАЗГҮЛ                                            </t>
  </si>
  <si>
    <t>Хувь хүний орлогын албан татвар 911</t>
  </si>
  <si>
    <t>Хувь хүнээс суутгасан орлогын албан татвар 912</t>
  </si>
  <si>
    <t>Бууны албан татвар 922</t>
  </si>
  <si>
    <t>Улсын тэмдэгтийн хураамж 941</t>
  </si>
  <si>
    <t>Ойн нөөцийн төлбөр 945</t>
  </si>
  <si>
    <t>Агнуурын нөөцийн төлбөр 946</t>
  </si>
  <si>
    <t>Түгээмэл тархацтай ашигт малтмал ашигласны төблөр 948</t>
  </si>
  <si>
    <t>Хадгаламжийн хүүгийн орлого 975</t>
  </si>
  <si>
    <t>Түгээмэл тархацтай ашигт малтмал ашигласны төлбөр 948</t>
  </si>
  <si>
    <t>ОНХСан, ХО</t>
  </si>
  <si>
    <t>Тусгай зориулалтын шилжүүлэг</t>
  </si>
  <si>
    <t>Төсөвт байгууллагын өөрийн орлого</t>
  </si>
  <si>
    <t xml:space="preserve">ОНХСангаас </t>
  </si>
  <si>
    <t>Дээд шатны төсвийн захирагчаас</t>
  </si>
  <si>
    <t>Сум хөгжүүлэх сан</t>
  </si>
  <si>
    <t xml:space="preserve">     Ус ашигласны төлбөр 944</t>
  </si>
  <si>
    <t>Төрийн сангийн данс-910</t>
  </si>
  <si>
    <t>СХСан</t>
  </si>
  <si>
    <t xml:space="preserve">Галт зэвсэг албан татвар 922 </t>
  </si>
  <si>
    <t>Орлогын төрлөөр</t>
  </si>
  <si>
    <t>Хүү торгуулийн орлого 988</t>
  </si>
  <si>
    <t>Нэмэлт санхүүжилт</t>
  </si>
  <si>
    <t>ЭМДСАнгаас</t>
  </si>
  <si>
    <t xml:space="preserve">2019 оны </t>
  </si>
  <si>
    <t xml:space="preserve">БЭЛТГЭСЭН:АУДИТОР                               Б.ҮҮРИЙНТУЯА                                </t>
  </si>
  <si>
    <t xml:space="preserve">БЭЛТГЭСЭН:АУДИТОР                                Б.ҮҮРИЙНТУЯА                             </t>
  </si>
  <si>
    <t xml:space="preserve">БЭЛТГЭСЭН:АУДИТОР                                Б.ҮҮРИЙНТУЯА                                  </t>
  </si>
  <si>
    <t>Бэлтгэсэн: Аудитор                                Б.Үүрийнтуяа</t>
  </si>
  <si>
    <t>Б.ҮҮРИЙНТУЯА</t>
  </si>
  <si>
    <t>ЗДТГазар</t>
  </si>
  <si>
    <t>Бүрэн дунд  сургууль</t>
  </si>
  <si>
    <t>1-р сар</t>
  </si>
  <si>
    <t>2-р сар</t>
  </si>
  <si>
    <t>3-р сар</t>
  </si>
  <si>
    <t>4-р сар</t>
  </si>
  <si>
    <t>5-р сар</t>
  </si>
  <si>
    <t>6-р сар</t>
  </si>
  <si>
    <t>7-р сар</t>
  </si>
  <si>
    <t>8-р сар</t>
  </si>
  <si>
    <t>9-р сар</t>
  </si>
  <si>
    <t>10-р сар</t>
  </si>
  <si>
    <t>11-р сар</t>
  </si>
  <si>
    <t>12-р сар</t>
  </si>
  <si>
    <t>Үйл ажиллагааны орлогын албан татвар 911, 912</t>
  </si>
  <si>
    <t>Алтанцөгц сумын Орон нутгийн татварын орлогын 995 тоот дансны орлогод хийсэн аудитын ажлын баримт</t>
  </si>
  <si>
    <t>АЛТАНЦӨГЦ СУМЫН ОРОН НУТГИЙН ТӨСВИЙН ОРЛОГОД ХИЙСЭН АУДИТЫН АЖЛЫН БАРИМТ</t>
  </si>
  <si>
    <t>Газрын төлбөр 943</t>
  </si>
  <si>
    <t>Хөрөнгө борлуулсны орлого 962</t>
  </si>
  <si>
    <t>Татварын торгууль орлого 952</t>
  </si>
  <si>
    <t>ЭЭСан</t>
  </si>
  <si>
    <r>
      <t xml:space="preserve">Хүснэгт №8  Орон нутгийн орлого </t>
    </r>
    <r>
      <rPr>
        <i/>
        <u/>
        <sz val="10"/>
        <color theme="1"/>
        <rFont val="Arial"/>
        <family val="2"/>
      </rPr>
      <t>үлдэгдэл /сая төгрөг/</t>
    </r>
  </si>
  <si>
    <t>Өсөлт/+/, бууралт /-/</t>
  </si>
  <si>
    <t>Дүнд эзлэх хувь</t>
  </si>
  <si>
    <t>I.ХАОАТатвар</t>
  </si>
  <si>
    <t>II.Бусад татвар</t>
  </si>
  <si>
    <t>III.Татварын бус орлого</t>
  </si>
  <si>
    <t>IV.Хөрөнгийн орлого</t>
  </si>
  <si>
    <t>Алтанцөгц  сумын 2020 оны төсвийн гүйцэтгэлийн нэгдсэн товчоо</t>
  </si>
  <si>
    <t>Алтанцөгц сумын Орон нутгийн төсвийн орлогын 2021 оны нэгдсэн товчоо</t>
  </si>
  <si>
    <t xml:space="preserve">АЛТАНЦӨГЦ СУМЫН 2021 ОНЫ ОРОН НУТГИЙН ТӨСВИЙН ОРЛОГЫН ГҮЙЦЭТГЭЛ </t>
  </si>
  <si>
    <t>Бусад нэр заагдаагүй орлого 910 914 917</t>
  </si>
  <si>
    <t>Алтанцөгц сумын орон нутгийн төсвийн зарлагын 2021 оны нэгдсэн товчоо</t>
  </si>
  <si>
    <t>ЭМДС</t>
  </si>
  <si>
    <t>Ерөнхий боловсролын сургууль</t>
  </si>
  <si>
    <t>Алтанцөгц сумын төсөвт  байгууллагуудаас 2021 онд төвлөрүүлсэн ЦХТАОАТатварын судалгаа</t>
  </si>
  <si>
    <t>Ахлах сургууль</t>
  </si>
  <si>
    <t>Хүн эмнэлэг</t>
  </si>
  <si>
    <t xml:space="preserve">БЭЛТГЭСЭН:АУДИТОР                                     Б.ҮҮРИЙНТУЯА                                      </t>
  </si>
  <si>
    <t>БЗД</t>
  </si>
  <si>
    <t>Сум дундын эмнэлэг</t>
  </si>
  <si>
    <r>
      <t>Санхүүгийн дэмжлэг-</t>
    </r>
    <r>
      <rPr>
        <b/>
        <sz val="10"/>
        <color indexed="8"/>
        <rFont val="Arial"/>
        <family val="2"/>
      </rPr>
      <t>972</t>
    </r>
  </si>
  <si>
    <r>
      <t>Орон нутгийн  татварын орлого-</t>
    </r>
    <r>
      <rPr>
        <b/>
        <sz val="10"/>
        <color indexed="8"/>
        <rFont val="Arial"/>
        <family val="2"/>
      </rPr>
      <t>995</t>
    </r>
  </si>
  <si>
    <t>д/д</t>
  </si>
  <si>
    <t>Аудитад хамрагдсан байгууллагын нэр</t>
  </si>
  <si>
    <t>Нийт алдаа, зөрчлийн</t>
  </si>
  <si>
    <t>Үүнээс</t>
  </si>
  <si>
    <t>Залруулга</t>
  </si>
  <si>
    <t>Төлбөрийн акт</t>
  </si>
  <si>
    <t>Албан шаардлага</t>
  </si>
  <si>
    <t>Зөвлөмж</t>
  </si>
  <si>
    <t>Тоо</t>
  </si>
  <si>
    <t>Алтанцөгц сумын Эрүүл мэндийн төв</t>
  </si>
  <si>
    <t>Алтанцөгц сумын Ерөнхий боловсролын сургууль</t>
  </si>
  <si>
    <t>5.Байгалийн нөөц ашигласны төлбөр</t>
  </si>
  <si>
    <t>Ус ашигласны төлбөр 944</t>
  </si>
  <si>
    <t xml:space="preserve">Рашаан ашигласны төлбөр </t>
  </si>
  <si>
    <t>Ойгоос мод, түлээ бэлтгэж ашигласны төлбөр 945</t>
  </si>
  <si>
    <t xml:space="preserve">     Хүү, торгуулийн орлого 952</t>
  </si>
  <si>
    <t xml:space="preserve">     Түрээсийн орлого</t>
  </si>
  <si>
    <t xml:space="preserve">     Төсөвт газрын өөрийн орлого</t>
  </si>
  <si>
    <t xml:space="preserve">     Нэр заагдаагүй бусад орлого</t>
  </si>
  <si>
    <t>АТӨЯХАТатвар</t>
  </si>
  <si>
    <t>Хог хаягдлын хураамж</t>
  </si>
  <si>
    <t>Хөрөнгийн орлогын албан татвар 975</t>
  </si>
  <si>
    <t>Хөрөнгө борлуулсаны орлогын татвар</t>
  </si>
  <si>
    <t>Хувь хүний орлогын албан татварын буцаалт</t>
  </si>
  <si>
    <t>Орлогыг нь тодорхойлох боломжгүй ИОТтавар</t>
  </si>
  <si>
    <t>НИЙТ ОРЛОГО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</si>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</sst>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_-* #,##0.00_-;\-* #,##0.00_-;_-* &quot;-&quot;??_-;_-@_-"/>
    <numFmt numFmtId="166" formatCode="_-* #,##0.0_-;\-* #,##0.0_-;_-* &quot;-&quot;??_-;_-@_-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Mon"/>
      <family val="2"/>
    </font>
    <font>
      <b/>
      <sz val="10"/>
      <color indexed="8"/>
      <name val="Arial Mon"/>
      <family val="2"/>
    </font>
    <font>
      <sz val="9"/>
      <color theme="1"/>
      <name val="Calibri"/>
      <family val="2"/>
      <scheme val="minor"/>
    </font>
    <font>
      <sz val="9"/>
      <color indexed="8"/>
      <name val="Arial Mon"/>
      <family val="2"/>
    </font>
    <font>
      <b/>
      <sz val="10"/>
      <name val="Arial Mon"/>
      <family val="2"/>
    </font>
    <font>
      <sz val="10"/>
      <name val="Arial Mon"/>
      <family val="2"/>
    </font>
    <font>
      <b/>
      <sz val="11"/>
      <color indexed="8"/>
      <name val="Arial Mon"/>
      <family val="2"/>
    </font>
    <font>
      <sz val="11"/>
      <color indexed="8"/>
      <name val="Arial Mon"/>
      <family val="2"/>
    </font>
    <font>
      <b/>
      <sz val="10"/>
      <color theme="1"/>
      <name val="Arial Mon"/>
      <family val="2"/>
    </font>
    <font>
      <sz val="12"/>
      <color indexed="8"/>
      <name val="Arial Mon"/>
      <family val="2"/>
    </font>
    <font>
      <b/>
      <sz val="10"/>
      <color rgb="FFFF0000"/>
      <name val="Arial Mo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848484"/>
      </top>
      <bottom style="medium">
        <color rgb="FF848484"/>
      </bottom>
      <diagonal/>
    </border>
    <border>
      <left/>
      <right/>
      <top style="medium">
        <color rgb="FF84848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/>
    <xf numFmtId="43" fontId="4" fillId="0" borderId="0" xfId="1" applyFont="1"/>
    <xf numFmtId="165" fontId="6" fillId="0" borderId="2" xfId="1" applyNumberFormat="1" applyFont="1" applyBorder="1"/>
    <xf numFmtId="43" fontId="5" fillId="0" borderId="0" xfId="1" applyFont="1"/>
    <xf numFmtId="0" fontId="11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2" xfId="1" applyFont="1" applyBorder="1"/>
    <xf numFmtId="43" fontId="5" fillId="7" borderId="2" xfId="1" applyFont="1" applyFill="1" applyBorder="1"/>
    <xf numFmtId="43" fontId="4" fillId="5" borderId="2" xfId="1" applyFont="1" applyFill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43" fontId="4" fillId="0" borderId="2" xfId="1" applyFont="1" applyBorder="1" applyAlignment="1">
      <alignment vertical="center" wrapText="1"/>
    </xf>
    <xf numFmtId="43" fontId="4" fillId="3" borderId="2" xfId="1" applyFont="1" applyFill="1" applyBorder="1"/>
    <xf numFmtId="0" fontId="4" fillId="8" borderId="2" xfId="0" applyFont="1" applyFill="1" applyBorder="1"/>
    <xf numFmtId="0" fontId="5" fillId="8" borderId="2" xfId="0" applyFont="1" applyFill="1" applyBorder="1"/>
    <xf numFmtId="43" fontId="5" fillId="8" borderId="2" xfId="1" applyFont="1" applyFill="1" applyBorder="1"/>
    <xf numFmtId="43" fontId="4" fillId="8" borderId="2" xfId="1" applyFont="1" applyFill="1" applyBorder="1"/>
    <xf numFmtId="43" fontId="12" fillId="3" borderId="2" xfId="1" applyFont="1" applyFill="1" applyBorder="1"/>
    <xf numFmtId="0" fontId="4" fillId="8" borderId="0" xfId="0" applyFont="1" applyFill="1" applyBorder="1"/>
    <xf numFmtId="0" fontId="5" fillId="8" borderId="0" xfId="0" applyFont="1" applyFill="1" applyBorder="1"/>
    <xf numFmtId="43" fontId="5" fillId="8" borderId="0" xfId="1" applyFont="1" applyFill="1" applyBorder="1"/>
    <xf numFmtId="43" fontId="12" fillId="3" borderId="0" xfId="1" applyFont="1" applyFill="1" applyBorder="1"/>
    <xf numFmtId="165" fontId="4" fillId="0" borderId="0" xfId="0" applyNumberFormat="1" applyFont="1"/>
    <xf numFmtId="43" fontId="11" fillId="0" borderId="0" xfId="1" applyFont="1"/>
    <xf numFmtId="43" fontId="4" fillId="0" borderId="0" xfId="0" applyNumberFormat="1" applyFont="1"/>
    <xf numFmtId="0" fontId="13" fillId="0" borderId="0" xfId="0" applyFont="1"/>
    <xf numFmtId="43" fontId="11" fillId="0" borderId="0" xfId="0" applyNumberFormat="1" applyFont="1"/>
    <xf numFmtId="165" fontId="14" fillId="0" borderId="0" xfId="0" applyNumberFormat="1" applyFont="1"/>
    <xf numFmtId="0" fontId="15" fillId="0" borderId="2" xfId="0" applyFont="1" applyBorder="1"/>
    <xf numFmtId="43" fontId="15" fillId="0" borderId="2" xfId="1" applyFont="1" applyBorder="1"/>
    <xf numFmtId="0" fontId="16" fillId="6" borderId="2" xfId="0" applyFont="1" applyFill="1" applyBorder="1"/>
    <xf numFmtId="43" fontId="16" fillId="6" borderId="2" xfId="1" applyFont="1" applyFill="1" applyBorder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8" borderId="2" xfId="0" applyFont="1" applyFill="1" applyBorder="1" applyAlignment="1">
      <alignment horizontal="center"/>
    </xf>
    <xf numFmtId="4" fontId="3" fillId="8" borderId="2" xfId="0" applyNumberFormat="1" applyFont="1" applyFill="1" applyBorder="1" applyAlignment="1">
      <alignment horizontal="right"/>
    </xf>
    <xf numFmtId="4" fontId="17" fillId="8" borderId="2" xfId="0" applyNumberFormat="1" applyFont="1" applyFill="1" applyBorder="1" applyAlignment="1">
      <alignment horizontal="right"/>
    </xf>
    <xf numFmtId="4" fontId="2" fillId="8" borderId="2" xfId="0" applyNumberFormat="1" applyFont="1" applyFill="1" applyBorder="1" applyAlignment="1">
      <alignment horizontal="right"/>
    </xf>
    <xf numFmtId="0" fontId="18" fillId="8" borderId="2" xfId="0" applyFont="1" applyFill="1" applyBorder="1" applyAlignment="1">
      <alignment horizontal="center"/>
    </xf>
    <xf numFmtId="3" fontId="3" fillId="8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/>
    </xf>
    <xf numFmtId="0" fontId="3" fillId="8" borderId="2" xfId="0" applyFont="1" applyFill="1" applyBorder="1" applyAlignment="1">
      <alignment horizontal="left"/>
    </xf>
    <xf numFmtId="4" fontId="18" fillId="8" borderId="2" xfId="0" applyNumberFormat="1" applyFont="1" applyFill="1" applyBorder="1" applyAlignment="1">
      <alignment horizontal="right"/>
    </xf>
    <xf numFmtId="0" fontId="19" fillId="5" borderId="2" xfId="0" applyFont="1" applyFill="1" applyBorder="1"/>
    <xf numFmtId="4" fontId="18" fillId="5" borderId="2" xfId="0" applyNumberFormat="1" applyFont="1" applyFill="1" applyBorder="1"/>
    <xf numFmtId="0" fontId="2" fillId="8" borderId="0" xfId="0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43" fontId="4" fillId="0" borderId="2" xfId="1" applyFont="1" applyFill="1" applyBorder="1"/>
    <xf numFmtId="0" fontId="2" fillId="0" borderId="0" xfId="0" applyFont="1" applyAlignment="1"/>
    <xf numFmtId="167" fontId="15" fillId="0" borderId="2" xfId="1" applyNumberFormat="1" applyFont="1" applyBorder="1"/>
    <xf numFmtId="43" fontId="20" fillId="0" borderId="0" xfId="1" applyFont="1"/>
    <xf numFmtId="167" fontId="15" fillId="0" borderId="2" xfId="1" applyNumberFormat="1" applyFont="1" applyBorder="1" applyAlignment="1">
      <alignment horizontal="center" vertical="center" textRotation="90" wrapText="1"/>
    </xf>
    <xf numFmtId="0" fontId="17" fillId="0" borderId="0" xfId="0" applyFont="1" applyFill="1" applyAlignment="1"/>
    <xf numFmtId="43" fontId="12" fillId="6" borderId="2" xfId="1" applyFont="1" applyFill="1" applyBorder="1"/>
    <xf numFmtId="0" fontId="20" fillId="0" borderId="0" xfId="0" applyFont="1"/>
    <xf numFmtId="0" fontId="15" fillId="0" borderId="0" xfId="0" applyFont="1"/>
    <xf numFmtId="43" fontId="15" fillId="0" borderId="2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3" fontId="15" fillId="0" borderId="2" xfId="0" applyNumberFormat="1" applyFont="1" applyBorder="1"/>
    <xf numFmtId="0" fontId="15" fillId="6" borderId="2" xfId="0" applyFont="1" applyFill="1" applyBorder="1"/>
    <xf numFmtId="0" fontId="20" fillId="6" borderId="2" xfId="0" applyFont="1" applyFill="1" applyBorder="1"/>
    <xf numFmtId="0" fontId="21" fillId="6" borderId="2" xfId="0" applyFont="1" applyFill="1" applyBorder="1"/>
    <xf numFmtId="0" fontId="3" fillId="0" borderId="0" xfId="0" applyFont="1" applyAlignment="1">
      <alignment horizontal="center"/>
    </xf>
    <xf numFmtId="43" fontId="20" fillId="0" borderId="2" xfId="0" applyNumberFormat="1" applyFont="1" applyBorder="1"/>
    <xf numFmtId="167" fontId="11" fillId="0" borderId="0" xfId="0" applyNumberFormat="1" applyFont="1"/>
    <xf numFmtId="43" fontId="16" fillId="0" borderId="2" xfId="1" applyFont="1" applyBorder="1"/>
    <xf numFmtId="0" fontId="15" fillId="0" borderId="0" xfId="0" applyFont="1" applyFill="1" applyBorder="1"/>
    <xf numFmtId="43" fontId="16" fillId="6" borderId="4" xfId="1" applyFont="1" applyFill="1" applyBorder="1"/>
    <xf numFmtId="0" fontId="15" fillId="0" borderId="2" xfId="0" applyFont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43" fontId="15" fillId="0" borderId="2" xfId="1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5" fillId="0" borderId="2" xfId="1" applyNumberFormat="1" applyFont="1" applyBorder="1" applyAlignment="1">
      <alignment horizontal="center"/>
    </xf>
    <xf numFmtId="43" fontId="16" fillId="6" borderId="2" xfId="1" applyFont="1" applyFill="1" applyBorder="1" applyAlignment="1">
      <alignment horizontal="center"/>
    </xf>
    <xf numFmtId="0" fontId="20" fillId="0" borderId="0" xfId="0" applyFont="1" applyAlignment="1"/>
    <xf numFmtId="43" fontId="15" fillId="0" borderId="0" xfId="1" applyFont="1" applyAlignment="1"/>
    <xf numFmtId="43" fontId="17" fillId="0" borderId="0" xfId="1" applyFont="1" applyFill="1" applyAlignment="1">
      <alignment vertical="center"/>
    </xf>
    <xf numFmtId="0" fontId="18" fillId="0" borderId="2" xfId="0" applyFont="1" applyFill="1" applyBorder="1"/>
    <xf numFmtId="0" fontId="17" fillId="0" borderId="2" xfId="0" applyFont="1" applyFill="1" applyBorder="1"/>
    <xf numFmtId="43" fontId="17" fillId="0" borderId="0" xfId="1" applyFont="1" applyFill="1" applyAlignment="1">
      <alignment vertical="center" wrapText="1"/>
    </xf>
    <xf numFmtId="0" fontId="9" fillId="0" borderId="0" xfId="0" applyFont="1" applyFill="1" applyAlignment="1">
      <alignment vertical="top" wrapText="1"/>
    </xf>
    <xf numFmtId="9" fontId="17" fillId="3" borderId="2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25" fillId="9" borderId="0" xfId="0" applyFont="1" applyFill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9" borderId="10" xfId="0" applyFont="1" applyFill="1" applyBorder="1" applyAlignment="1">
      <alignment horizontal="center" vertical="center"/>
    </xf>
    <xf numFmtId="43" fontId="15" fillId="0" borderId="0" xfId="1" applyFont="1" applyAlignment="1">
      <alignment horizontal="center" vertical="center" wrapText="1"/>
    </xf>
    <xf numFmtId="43" fontId="27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167" fontId="28" fillId="9" borderId="10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17" fillId="0" borderId="0" xfId="0" applyFont="1" applyFill="1"/>
    <xf numFmtId="0" fontId="9" fillId="0" borderId="0" xfId="0" applyFont="1" applyFill="1"/>
    <xf numFmtId="0" fontId="17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43" fontId="17" fillId="0" borderId="2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43" fontId="18" fillId="2" borderId="2" xfId="1" applyFont="1" applyFill="1" applyBorder="1" applyAlignment="1">
      <alignment vertical="center"/>
    </xf>
    <xf numFmtId="43" fontId="17" fillId="0" borderId="0" xfId="0" applyNumberFormat="1" applyFont="1" applyFill="1"/>
    <xf numFmtId="0" fontId="8" fillId="0" borderId="2" xfId="0" applyFont="1" applyFill="1" applyBorder="1"/>
    <xf numFmtId="43" fontId="18" fillId="0" borderId="2" xfId="1" applyFont="1" applyFill="1" applyBorder="1" applyAlignment="1">
      <alignment vertical="center"/>
    </xf>
    <xf numFmtId="0" fontId="9" fillId="0" borderId="2" xfId="0" applyFont="1" applyFill="1" applyBorder="1"/>
    <xf numFmtId="43" fontId="17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wrapText="1"/>
    </xf>
    <xf numFmtId="0" fontId="17" fillId="0" borderId="0" xfId="0" applyFont="1" applyFill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6" fontId="15" fillId="0" borderId="2" xfId="1" applyNumberFormat="1" applyFont="1" applyBorder="1"/>
    <xf numFmtId="0" fontId="3" fillId="4" borderId="2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3" fillId="0" borderId="2" xfId="0" applyNumberFormat="1" applyFont="1" applyBorder="1"/>
    <xf numFmtId="164" fontId="3" fillId="4" borderId="2" xfId="0" applyNumberFormat="1" applyFont="1" applyFill="1" applyBorder="1"/>
    <xf numFmtId="4" fontId="18" fillId="3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" fontId="29" fillId="0" borderId="2" xfId="0" applyNumberFormat="1" applyFont="1" applyBorder="1" applyAlignment="1">
      <alignment horizontal="right"/>
    </xf>
    <xf numFmtId="164" fontId="29" fillId="0" borderId="2" xfId="0" applyNumberFormat="1" applyFont="1" applyBorder="1" applyAlignment="1">
      <alignment horizontal="right"/>
    </xf>
    <xf numFmtId="3" fontId="29" fillId="0" borderId="2" xfId="0" applyNumberFormat="1" applyFont="1" applyBorder="1" applyAlignment="1">
      <alignment horizontal="right"/>
    </xf>
    <xf numFmtId="0" fontId="29" fillId="0" borderId="2" xfId="0" applyFont="1" applyBorder="1"/>
    <xf numFmtId="4" fontId="18" fillId="0" borderId="2" xfId="0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4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9" fontId="2" fillId="0" borderId="0" xfId="0" applyNumberFormat="1" applyFont="1"/>
    <xf numFmtId="0" fontId="17" fillId="0" borderId="0" xfId="0" applyFont="1"/>
    <xf numFmtId="43" fontId="2" fillId="0" borderId="0" xfId="1" applyFont="1"/>
    <xf numFmtId="43" fontId="3" fillId="0" borderId="0" xfId="1" applyFont="1"/>
    <xf numFmtId="169" fontId="3" fillId="0" borderId="0" xfId="0" applyNumberFormat="1" applyFont="1"/>
    <xf numFmtId="165" fontId="15" fillId="0" borderId="0" xfId="0" applyNumberFormat="1" applyFont="1"/>
    <xf numFmtId="0" fontId="3" fillId="0" borderId="2" xfId="0" applyFont="1" applyBorder="1" applyAlignment="1">
      <alignment horizontal="center" vertical="center"/>
    </xf>
    <xf numFmtId="164" fontId="15" fillId="10" borderId="2" xfId="0" applyNumberFormat="1" applyFont="1" applyFill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4" fontId="15" fillId="0" borderId="2" xfId="0" applyNumberFormat="1" applyFont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/>
    <xf numFmtId="164" fontId="16" fillId="5" borderId="2" xfId="0" applyNumberFormat="1" applyFont="1" applyFill="1" applyBorder="1" applyAlignment="1">
      <alignment horizontal="right"/>
    </xf>
    <xf numFmtId="4" fontId="16" fillId="5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/>
    <xf numFmtId="3" fontId="2" fillId="0" borderId="7" xfId="0" applyNumberFormat="1" applyFont="1" applyBorder="1" applyAlignment="1">
      <alignment horizontal="right"/>
    </xf>
    <xf numFmtId="0" fontId="15" fillId="0" borderId="7" xfId="0" applyFont="1" applyBorder="1"/>
    <xf numFmtId="4" fontId="15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164" fontId="2" fillId="3" borderId="0" xfId="0" applyNumberFormat="1" applyFont="1" applyFill="1" applyBorder="1"/>
    <xf numFmtId="165" fontId="15" fillId="3" borderId="0" xfId="1" applyNumberFormat="1" applyFont="1" applyFill="1" applyBorder="1"/>
    <xf numFmtId="170" fontId="15" fillId="3" borderId="0" xfId="1" applyNumberFormat="1" applyFont="1" applyFill="1" applyBorder="1"/>
    <xf numFmtId="166" fontId="15" fillId="3" borderId="0" xfId="1" applyNumberFormat="1" applyFont="1" applyFill="1" applyBorder="1"/>
    <xf numFmtId="0" fontId="2" fillId="3" borderId="0" xfId="0" applyFont="1" applyFill="1" applyBorder="1"/>
    <xf numFmtId="164" fontId="15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wrapText="1"/>
    </xf>
    <xf numFmtId="43" fontId="15" fillId="3" borderId="0" xfId="1" applyFont="1" applyFill="1" applyBorder="1"/>
    <xf numFmtId="0" fontId="3" fillId="3" borderId="0" xfId="0" applyFont="1" applyFill="1" applyBorder="1"/>
    <xf numFmtId="165" fontId="16" fillId="3" borderId="0" xfId="0" applyNumberFormat="1" applyFont="1" applyFill="1" applyBorder="1"/>
    <xf numFmtId="43" fontId="15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30" fillId="0" borderId="0" xfId="0" applyFont="1"/>
    <xf numFmtId="0" fontId="30" fillId="0" borderId="2" xfId="0" applyFont="1" applyBorder="1" applyAlignment="1">
      <alignment horizontal="center"/>
    </xf>
    <xf numFmtId="43" fontId="30" fillId="0" borderId="2" xfId="1" applyFont="1" applyBorder="1" applyAlignment="1">
      <alignment horizontal="center"/>
    </xf>
    <xf numFmtId="0" fontId="15" fillId="11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 textRotation="90" wrapText="1"/>
    </xf>
    <xf numFmtId="167" fontId="16" fillId="0" borderId="4" xfId="1" applyNumberFormat="1" applyFont="1" applyBorder="1" applyAlignment="1">
      <alignment horizontal="center"/>
    </xf>
    <xf numFmtId="167" fontId="16" fillId="0" borderId="5" xfId="1" applyNumberFormat="1" applyFont="1" applyBorder="1" applyAlignment="1">
      <alignment horizontal="center"/>
    </xf>
    <xf numFmtId="167" fontId="16" fillId="0" borderId="6" xfId="1" applyNumberFormat="1" applyFont="1" applyBorder="1" applyAlignment="1">
      <alignment horizontal="center"/>
    </xf>
    <xf numFmtId="167" fontId="16" fillId="0" borderId="7" xfId="1" applyNumberFormat="1" applyFont="1" applyBorder="1" applyAlignment="1">
      <alignment horizontal="center" vertical="center" textRotation="90" wrapText="1"/>
    </xf>
    <xf numFmtId="167" fontId="16" fillId="0" borderId="8" xfId="1" applyNumberFormat="1" applyFont="1" applyBorder="1" applyAlignment="1">
      <alignment horizontal="center" vertical="center" textRotation="90" wrapText="1"/>
    </xf>
    <xf numFmtId="167" fontId="16" fillId="0" borderId="9" xfId="1" applyNumberFormat="1" applyFont="1" applyBorder="1" applyAlignment="1">
      <alignment horizontal="center" vertical="center" textRotation="90" wrapText="1"/>
    </xf>
    <xf numFmtId="167" fontId="15" fillId="0" borderId="7" xfId="1" applyNumberFormat="1" applyFont="1" applyBorder="1" applyAlignment="1">
      <alignment horizontal="center" vertical="center" textRotation="90" wrapText="1"/>
    </xf>
    <xf numFmtId="167" fontId="15" fillId="0" borderId="9" xfId="1" applyNumberFormat="1" applyFont="1" applyBorder="1" applyAlignment="1">
      <alignment horizontal="center" vertical="center" textRotation="90" wrapText="1"/>
    </xf>
    <xf numFmtId="167" fontId="15" fillId="0" borderId="4" xfId="1" applyNumberFormat="1" applyFont="1" applyBorder="1" applyAlignment="1">
      <alignment horizontal="center"/>
    </xf>
    <xf numFmtId="167" fontId="15" fillId="0" borderId="5" xfId="1" applyNumberFormat="1" applyFont="1" applyBorder="1" applyAlignment="1">
      <alignment horizontal="center"/>
    </xf>
    <xf numFmtId="167" fontId="15" fillId="0" borderId="6" xfId="1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3" xfId="0" applyNumberFormat="1" applyFont="1" applyBorder="1" applyAlignment="1">
      <alignment horizontal="left"/>
    </xf>
    <xf numFmtId="0" fontId="15" fillId="0" borderId="3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10</xdr:col>
      <xdr:colOff>452120</xdr:colOff>
      <xdr:row>17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0621B-3046-4FC5-AFAB-3D4DF54B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400"/>
          <a:ext cx="5938520" cy="2255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21</xdr:col>
      <xdr:colOff>452120</xdr:colOff>
      <xdr:row>17</xdr:row>
      <xdr:rowOff>36195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A0A6D2-BFB4-436B-A90C-FCB77070C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097280"/>
          <a:ext cx="5938520" cy="204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ruulsen/2ONTT%20mayagt%202019-altantsog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"/>
      <sheetName val="ОНТО-2"/>
      <sheetName val="901"/>
      <sheetName val="910-ын түүвэр "/>
      <sheetName val="995-ын түүвэр"/>
      <sheetName val="ЗАРЛАГА"/>
      <sheetName val="Давсан хэсэг"/>
      <sheetName val="ОНТО-1"/>
      <sheetName val="ОНТЗ-1"/>
      <sheetName val="ОНТЗ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G12">
            <v>39609700</v>
          </cell>
          <cell r="J12">
            <v>6350000</v>
          </cell>
        </row>
        <row r="13">
          <cell r="E13">
            <v>374005600</v>
          </cell>
          <cell r="G13">
            <v>24946100</v>
          </cell>
        </row>
        <row r="14">
          <cell r="G14">
            <v>95498100</v>
          </cell>
          <cell r="I14">
            <v>520000</v>
          </cell>
          <cell r="J14">
            <v>7350000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workbookViewId="0">
      <selection activeCell="H14" sqref="H14"/>
    </sheetView>
  </sheetViews>
  <sheetFormatPr defaultColWidth="9.140625" defaultRowHeight="12.75"/>
  <cols>
    <col min="1" max="1" width="4.85546875" style="2" customWidth="1"/>
    <col min="2" max="2" width="50.85546875" style="2" customWidth="1"/>
    <col min="3" max="3" width="18.85546875" style="2" customWidth="1"/>
    <col min="4" max="5" width="18.7109375" style="2" customWidth="1"/>
    <col min="6" max="6" width="18" style="2" customWidth="1"/>
    <col min="7" max="7" width="14" style="2" bestFit="1" customWidth="1"/>
    <col min="8" max="8" width="16.5703125" style="2" customWidth="1"/>
    <col min="9" max="16384" width="9.140625" style="2"/>
  </cols>
  <sheetData>
    <row r="1" spans="1:8">
      <c r="F1" s="2" t="s">
        <v>34</v>
      </c>
    </row>
    <row r="3" spans="1:8" ht="15">
      <c r="B3" s="205" t="s">
        <v>129</v>
      </c>
      <c r="C3" s="205"/>
      <c r="D3" s="205"/>
      <c r="E3" s="205"/>
      <c r="F3" s="8"/>
      <c r="G3" s="8"/>
    </row>
    <row r="4" spans="1:8" ht="15">
      <c r="B4" s="9"/>
      <c r="C4" s="9"/>
      <c r="D4" s="9"/>
      <c r="E4" s="9"/>
      <c r="F4" s="8"/>
      <c r="G4" s="8"/>
    </row>
    <row r="5" spans="1:8" ht="15">
      <c r="B5" s="9"/>
      <c r="C5" s="9"/>
      <c r="D5" s="9"/>
      <c r="E5" s="9"/>
      <c r="F5" s="8"/>
      <c r="G5" s="8"/>
    </row>
    <row r="6" spans="1:8">
      <c r="E6" s="206" t="s">
        <v>1</v>
      </c>
      <c r="F6" s="206"/>
    </row>
    <row r="7" spans="1:8" ht="38.25">
      <c r="A7" s="10" t="s">
        <v>35</v>
      </c>
      <c r="B7" s="10" t="s">
        <v>36</v>
      </c>
      <c r="C7" s="11" t="s">
        <v>37</v>
      </c>
      <c r="D7" s="12" t="s">
        <v>17</v>
      </c>
      <c r="E7" s="12" t="s">
        <v>18</v>
      </c>
      <c r="F7" s="11" t="s">
        <v>38</v>
      </c>
    </row>
    <row r="8" spans="1:8">
      <c r="A8" s="4">
        <v>1</v>
      </c>
      <c r="B8" s="4" t="s">
        <v>39</v>
      </c>
      <c r="C8" s="13"/>
      <c r="D8" s="14"/>
      <c r="E8" s="14"/>
      <c r="F8" s="13"/>
    </row>
    <row r="9" spans="1:8">
      <c r="A9" s="4">
        <v>2</v>
      </c>
      <c r="B9" s="4" t="s">
        <v>40</v>
      </c>
      <c r="C9" s="19">
        <f>+C10+C11+C12+C13+C14+C15+C16</f>
        <v>27229988.77</v>
      </c>
      <c r="D9" s="16">
        <f>+D10+D11+D12+D13+D14+D15+D16</f>
        <v>704367071.99000001</v>
      </c>
      <c r="E9" s="16">
        <f>+E10+E11+E12+E13+E14+E15+E16</f>
        <v>705597900</v>
      </c>
      <c r="F9" s="15">
        <f>+C9+D9-E9</f>
        <v>25999160.75999999</v>
      </c>
      <c r="G9" s="5"/>
      <c r="H9" s="5"/>
    </row>
    <row r="10" spans="1:8" ht="28.5" customHeight="1">
      <c r="A10" s="17">
        <v>2.1</v>
      </c>
      <c r="B10" s="18" t="s">
        <v>41</v>
      </c>
      <c r="C10" s="19"/>
      <c r="D10" s="59">
        <v>704173071.99000001</v>
      </c>
      <c r="E10" s="59">
        <v>705417900</v>
      </c>
      <c r="F10" s="14">
        <f>+C10+D10-E10</f>
        <v>-1244828.0099999905</v>
      </c>
      <c r="G10" s="32"/>
      <c r="H10" s="32"/>
    </row>
    <row r="11" spans="1:8" ht="25.5">
      <c r="A11" s="17">
        <v>2.2000000000000002</v>
      </c>
      <c r="B11" s="18" t="s">
        <v>42</v>
      </c>
      <c r="C11" s="19"/>
      <c r="D11" s="59"/>
      <c r="E11" s="59"/>
      <c r="F11" s="20"/>
    </row>
    <row r="12" spans="1:8">
      <c r="A12" s="17">
        <v>2.2999999999999998</v>
      </c>
      <c r="B12" s="18" t="s">
        <v>43</v>
      </c>
      <c r="C12" s="6">
        <v>27049988.77</v>
      </c>
      <c r="D12" s="14"/>
      <c r="E12" s="14"/>
      <c r="F12" s="14"/>
    </row>
    <row r="13" spans="1:8">
      <c r="A13" s="17">
        <v>2.4</v>
      </c>
      <c r="B13" s="18" t="s">
        <v>44</v>
      </c>
      <c r="C13" s="19"/>
      <c r="D13" s="14"/>
      <c r="E13" s="14"/>
      <c r="F13" s="14"/>
      <c r="H13" s="32">
        <f>+F9-F14</f>
        <v>25805160.75999999</v>
      </c>
    </row>
    <row r="14" spans="1:8">
      <c r="A14" s="17"/>
      <c r="B14" s="18" t="s">
        <v>45</v>
      </c>
      <c r="C14" s="19">
        <v>180000</v>
      </c>
      <c r="D14" s="14">
        <v>194000</v>
      </c>
      <c r="E14" s="14">
        <v>180000</v>
      </c>
      <c r="F14" s="14">
        <f>+C14+D14-E14</f>
        <v>194000</v>
      </c>
      <c r="H14" s="32"/>
    </row>
    <row r="15" spans="1:8">
      <c r="A15" s="17">
        <v>2.5</v>
      </c>
      <c r="B15" s="18" t="s">
        <v>46</v>
      </c>
      <c r="C15" s="19"/>
      <c r="D15" s="14"/>
      <c r="E15" s="14"/>
      <c r="F15" s="14"/>
    </row>
    <row r="16" spans="1:8">
      <c r="A16" s="21"/>
      <c r="B16" s="22" t="s">
        <v>47</v>
      </c>
      <c r="C16" s="23"/>
      <c r="D16" s="24"/>
      <c r="E16" s="24"/>
      <c r="F16" s="24"/>
    </row>
    <row r="17" spans="1:8" ht="18" customHeight="1">
      <c r="A17" s="21"/>
      <c r="B17" s="22" t="s">
        <v>48</v>
      </c>
      <c r="C17" s="23">
        <f>SUM(C9:C16)</f>
        <v>54459977.539999999</v>
      </c>
      <c r="D17" s="23">
        <f>SUM(D8:D16)</f>
        <v>1408734143.98</v>
      </c>
      <c r="E17" s="23">
        <f>+E8+E9</f>
        <v>705597900</v>
      </c>
      <c r="F17" s="25">
        <f>+C17+D17-E17</f>
        <v>757596221.51999998</v>
      </c>
      <c r="H17" s="32"/>
    </row>
    <row r="18" spans="1:8">
      <c r="A18" s="21"/>
      <c r="B18" s="22"/>
      <c r="C18" s="23"/>
      <c r="D18" s="23"/>
      <c r="E18" s="23"/>
      <c r="F18" s="65">
        <f>+F13+F17</f>
        <v>757596221.51999998</v>
      </c>
      <c r="H18" s="5"/>
    </row>
    <row r="19" spans="1:8">
      <c r="A19" s="26"/>
      <c r="B19" s="27"/>
      <c r="C19" s="28"/>
      <c r="D19" s="28"/>
      <c r="E19" s="28"/>
      <c r="F19" s="29"/>
      <c r="H19" s="32"/>
    </row>
    <row r="20" spans="1:8">
      <c r="B20" s="207" t="s">
        <v>49</v>
      </c>
      <c r="C20" s="207"/>
      <c r="D20" s="207"/>
      <c r="E20" s="207"/>
      <c r="F20" s="207"/>
    </row>
    <row r="21" spans="1:8">
      <c r="B21" s="208"/>
      <c r="C21" s="208"/>
      <c r="D21" s="208"/>
      <c r="E21" s="208"/>
      <c r="F21" s="208"/>
    </row>
    <row r="22" spans="1:8">
      <c r="B22" s="208"/>
      <c r="C22" s="208"/>
      <c r="D22" s="208"/>
      <c r="E22" s="208"/>
      <c r="F22" s="208"/>
    </row>
    <row r="23" spans="1:8">
      <c r="C23" s="32">
        <f>+C12+C14</f>
        <v>27229988.77</v>
      </c>
      <c r="D23" s="5"/>
      <c r="F23" s="5"/>
    </row>
    <row r="24" spans="1:8">
      <c r="C24" s="32">
        <f>+C9-C23</f>
        <v>0</v>
      </c>
      <c r="E24" s="30"/>
      <c r="F24" s="5"/>
    </row>
    <row r="25" spans="1:8">
      <c r="B25" s="209" t="s">
        <v>95</v>
      </c>
      <c r="C25" s="209"/>
      <c r="D25" s="209"/>
      <c r="E25" s="209"/>
      <c r="F25" s="209"/>
      <c r="G25" s="64"/>
      <c r="H25" s="64"/>
    </row>
    <row r="26" spans="1:8">
      <c r="F26" s="32">
        <f>+F23-F24</f>
        <v>0</v>
      </c>
    </row>
    <row r="27" spans="1:8">
      <c r="C27" s="5"/>
    </row>
    <row r="28" spans="1:8">
      <c r="C28" s="5"/>
    </row>
    <row r="29" spans="1:8">
      <c r="C29" s="5"/>
    </row>
    <row r="30" spans="1:8">
      <c r="C30" s="5"/>
    </row>
    <row r="31" spans="1:8">
      <c r="C31" s="5"/>
    </row>
    <row r="32" spans="1:8">
      <c r="C32" s="5"/>
    </row>
    <row r="33" spans="3:3">
      <c r="C33" s="7"/>
    </row>
    <row r="34" spans="3:3">
      <c r="C34" s="5"/>
    </row>
  </sheetData>
  <mergeCells count="4">
    <mergeCell ref="B3:E3"/>
    <mergeCell ref="E6:F6"/>
    <mergeCell ref="B20:F22"/>
    <mergeCell ref="B25:F25"/>
  </mergeCells>
  <pageMargins left="0.7" right="0" top="0.75" bottom="0.75" header="0.3" footer="0.3"/>
  <pageSetup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031A-D809-402F-8ABB-6FD7F743B228}">
  <dimension ref="B5:M11"/>
  <sheetViews>
    <sheetView workbookViewId="0">
      <selection activeCell="B5" sqref="B5:B7"/>
    </sheetView>
  </sheetViews>
  <sheetFormatPr defaultRowHeight="15"/>
  <cols>
    <col min="2" max="2" width="4.5703125" style="200" customWidth="1"/>
    <col min="3" max="3" width="20.7109375" customWidth="1"/>
  </cols>
  <sheetData>
    <row r="5" spans="2:13" ht="20.45" customHeight="1">
      <c r="B5" s="244" t="s">
        <v>143</v>
      </c>
      <c r="C5" s="244" t="s">
        <v>144</v>
      </c>
      <c r="D5" s="244" t="s">
        <v>145</v>
      </c>
      <c r="E5" s="244"/>
      <c r="F5" s="244" t="s">
        <v>146</v>
      </c>
      <c r="G5" s="244"/>
      <c r="H5" s="244"/>
      <c r="I5" s="244"/>
      <c r="J5" s="244"/>
      <c r="K5" s="244"/>
      <c r="L5" s="244"/>
      <c r="M5" s="244"/>
    </row>
    <row r="6" spans="2:13">
      <c r="B6" s="244"/>
      <c r="C6" s="244"/>
      <c r="D6" s="244"/>
      <c r="E6" s="244"/>
      <c r="F6" s="244" t="s">
        <v>147</v>
      </c>
      <c r="G6" s="244"/>
      <c r="H6" s="244" t="s">
        <v>148</v>
      </c>
      <c r="I6" s="244"/>
      <c r="J6" s="244" t="s">
        <v>149</v>
      </c>
      <c r="K6" s="244"/>
      <c r="L6" s="244" t="s">
        <v>150</v>
      </c>
      <c r="M6" s="244"/>
    </row>
    <row r="7" spans="2:13">
      <c r="B7" s="244"/>
      <c r="C7" s="244"/>
      <c r="D7" s="135" t="s">
        <v>151</v>
      </c>
      <c r="E7" s="135" t="s">
        <v>27</v>
      </c>
      <c r="F7" s="135" t="s">
        <v>151</v>
      </c>
      <c r="G7" s="135" t="s">
        <v>27</v>
      </c>
      <c r="H7" s="135" t="s">
        <v>151</v>
      </c>
      <c r="I7" s="135" t="s">
        <v>27</v>
      </c>
      <c r="J7" s="135" t="s">
        <v>151</v>
      </c>
      <c r="K7" s="135" t="s">
        <v>27</v>
      </c>
      <c r="L7" s="135" t="s">
        <v>151</v>
      </c>
      <c r="M7" s="135" t="s">
        <v>27</v>
      </c>
    </row>
    <row r="8" spans="2:13" ht="38.450000000000003" customHeight="1">
      <c r="B8" s="135">
        <v>1</v>
      </c>
      <c r="C8" s="135" t="s">
        <v>153</v>
      </c>
      <c r="D8" s="135">
        <v>1</v>
      </c>
      <c r="E8" s="135">
        <v>1.9</v>
      </c>
      <c r="F8" s="135"/>
      <c r="G8" s="135"/>
      <c r="H8" s="135"/>
      <c r="I8" s="135"/>
      <c r="J8" s="135">
        <v>1</v>
      </c>
      <c r="K8" s="135">
        <v>1.9</v>
      </c>
      <c r="L8" s="135"/>
      <c r="M8" s="135"/>
    </row>
    <row r="9" spans="2:13" ht="19.899999999999999" customHeight="1">
      <c r="B9" s="135">
        <v>2</v>
      </c>
      <c r="C9" s="135" t="s">
        <v>33</v>
      </c>
      <c r="D9" s="204"/>
      <c r="E9" s="204"/>
      <c r="F9" s="204"/>
      <c r="G9" s="135"/>
      <c r="H9" s="135"/>
      <c r="I9" s="135"/>
      <c r="J9" s="135"/>
      <c r="K9" s="135"/>
      <c r="L9" s="135"/>
      <c r="M9" s="135"/>
    </row>
    <row r="10" spans="2:13" ht="34.15" customHeight="1">
      <c r="B10" s="135">
        <v>3</v>
      </c>
      <c r="C10" s="135" t="s">
        <v>152</v>
      </c>
      <c r="D10" s="135">
        <v>2</v>
      </c>
      <c r="E10" s="135">
        <v>25.5</v>
      </c>
      <c r="F10" s="135"/>
      <c r="G10" s="135"/>
      <c r="H10" s="135"/>
      <c r="I10" s="135"/>
      <c r="J10" s="135"/>
      <c r="K10" s="135"/>
      <c r="L10" s="135">
        <v>2</v>
      </c>
      <c r="M10" s="135">
        <v>25.5</v>
      </c>
    </row>
    <row r="11" spans="2:13" s="201" customFormat="1">
      <c r="B11" s="248" t="s">
        <v>68</v>
      </c>
      <c r="C11" s="249"/>
      <c r="D11" s="202">
        <f>SUM(D8:D10)</f>
        <v>3</v>
      </c>
      <c r="E11" s="202">
        <f t="shared" ref="E11:M11" si="0">SUM(E8:E10)</f>
        <v>27.4</v>
      </c>
      <c r="F11" s="203">
        <f t="shared" si="0"/>
        <v>0</v>
      </c>
      <c r="G11" s="203">
        <f t="shared" si="0"/>
        <v>0</v>
      </c>
      <c r="H11" s="203">
        <f t="shared" si="0"/>
        <v>0</v>
      </c>
      <c r="I11" s="203">
        <f t="shared" si="0"/>
        <v>0</v>
      </c>
      <c r="J11" s="202">
        <f t="shared" si="0"/>
        <v>1</v>
      </c>
      <c r="K11" s="202">
        <f t="shared" si="0"/>
        <v>1.9</v>
      </c>
      <c r="L11" s="202">
        <f t="shared" si="0"/>
        <v>2</v>
      </c>
      <c r="M11" s="202">
        <f t="shared" si="0"/>
        <v>25.5</v>
      </c>
    </row>
  </sheetData>
  <mergeCells count="9">
    <mergeCell ref="B11:C11"/>
    <mergeCell ref="B5:B7"/>
    <mergeCell ref="C5:C7"/>
    <mergeCell ref="D5:E6"/>
    <mergeCell ref="F5:M5"/>
    <mergeCell ref="F6:G6"/>
    <mergeCell ref="H6:I6"/>
    <mergeCell ref="J6:K6"/>
    <mergeCell ref="L6:M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topLeftCell="A4" zoomScaleNormal="100" workbookViewId="0">
      <selection activeCell="L30" sqref="L30"/>
    </sheetView>
  </sheetViews>
  <sheetFormatPr defaultColWidth="9.140625" defaultRowHeight="12.75"/>
  <cols>
    <col min="1" max="1" width="3.7109375" style="113" customWidth="1"/>
    <col min="2" max="2" width="47.28515625" style="114" customWidth="1"/>
    <col min="3" max="3" width="14" style="91" bestFit="1" customWidth="1"/>
    <col min="4" max="4" width="15.140625" style="91" customWidth="1"/>
    <col min="5" max="5" width="14.140625" style="91" customWidth="1"/>
    <col min="6" max="6" width="12.140625" style="127" customWidth="1"/>
    <col min="7" max="16384" width="9.140625" style="113"/>
  </cols>
  <sheetData>
    <row r="1" spans="1:8">
      <c r="E1" s="91" t="s">
        <v>0</v>
      </c>
    </row>
    <row r="2" spans="1:8">
      <c r="B2" s="210" t="s">
        <v>130</v>
      </c>
      <c r="C2" s="210"/>
      <c r="D2" s="210"/>
      <c r="E2" s="210"/>
    </row>
    <row r="3" spans="1:8">
      <c r="B3" s="198"/>
      <c r="C3" s="198"/>
      <c r="D3" s="198"/>
      <c r="E3" s="198"/>
    </row>
    <row r="4" spans="1:8">
      <c r="B4" s="114" t="s">
        <v>169</v>
      </c>
      <c r="E4" s="211" t="s">
        <v>1</v>
      </c>
      <c r="F4" s="211"/>
    </row>
    <row r="5" spans="1:8" ht="17.25" customHeight="1">
      <c r="A5" s="115" t="s">
        <v>2</v>
      </c>
      <c r="B5" s="116" t="s">
        <v>90</v>
      </c>
      <c r="C5" s="117" t="s">
        <v>3</v>
      </c>
      <c r="D5" s="117" t="s">
        <v>4</v>
      </c>
      <c r="E5" s="117" t="s">
        <v>5</v>
      </c>
      <c r="F5" s="118" t="s">
        <v>6</v>
      </c>
    </row>
    <row r="6" spans="1:8" ht="17.25" customHeight="1">
      <c r="A6" s="92"/>
      <c r="B6" s="119" t="s">
        <v>168</v>
      </c>
      <c r="C6" s="120">
        <f>C7</f>
        <v>34660000</v>
      </c>
      <c r="D6" s="120">
        <f t="shared" ref="D6:E6" si="0">D7</f>
        <v>60415371.990000002</v>
      </c>
      <c r="E6" s="120">
        <f t="shared" si="0"/>
        <v>25755371.990000002</v>
      </c>
      <c r="F6" s="128">
        <f>D6/C6*100</f>
        <v>174.30863240046165</v>
      </c>
    </row>
    <row r="7" spans="1:8" ht="17.25" customHeight="1">
      <c r="A7" s="92"/>
      <c r="B7" s="119" t="s">
        <v>7</v>
      </c>
      <c r="C7" s="120">
        <f>C8+C30</f>
        <v>34660000</v>
      </c>
      <c r="D7" s="120">
        <f>D8+D30</f>
        <v>60415371.990000002</v>
      </c>
      <c r="E7" s="120">
        <f>E8+E30</f>
        <v>25755371.990000002</v>
      </c>
      <c r="F7" s="128">
        <f>D7/C7*100</f>
        <v>174.30863240046165</v>
      </c>
    </row>
    <row r="8" spans="1:8" ht="17.25" customHeight="1">
      <c r="A8" s="92"/>
      <c r="B8" s="122" t="s">
        <v>8</v>
      </c>
      <c r="C8" s="123">
        <f>C9+C17+C20+C25</f>
        <v>33360000</v>
      </c>
      <c r="D8" s="123">
        <f>D9+D17+D20+D25</f>
        <v>53233271.990000002</v>
      </c>
      <c r="E8" s="123">
        <f>E9+E17+E20+E25</f>
        <v>19873271.990000002</v>
      </c>
      <c r="F8" s="129">
        <f>D8/C8*100</f>
        <v>159.57215824340528</v>
      </c>
    </row>
    <row r="9" spans="1:8" ht="17.25" customHeight="1">
      <c r="A9" s="92"/>
      <c r="B9" s="122" t="s">
        <v>9</v>
      </c>
      <c r="C9" s="123">
        <f>C10</f>
        <v>23390000</v>
      </c>
      <c r="D9" s="123">
        <f>D10</f>
        <v>19407801.990000002</v>
      </c>
      <c r="E9" s="123">
        <f t="shared" ref="E9:E33" si="1">D9-C9</f>
        <v>-3982198.0099999979</v>
      </c>
      <c r="F9" s="129">
        <f t="shared" ref="F9:F34" si="2">D9/C9*100</f>
        <v>82.974784053014119</v>
      </c>
    </row>
    <row r="10" spans="1:8" ht="17.25" customHeight="1">
      <c r="A10" s="92"/>
      <c r="B10" s="119" t="s">
        <v>10</v>
      </c>
      <c r="C10" s="120">
        <f>C11+C12+C13+C14+C15</f>
        <v>23390000</v>
      </c>
      <c r="D10" s="120">
        <f>D11+D12+D13+D14+D15</f>
        <v>19407801.990000002</v>
      </c>
      <c r="E10" s="120">
        <f>E11+E12+E13+E14+E15</f>
        <v>-3982198.01</v>
      </c>
      <c r="F10" s="128">
        <f>D10/C10*100</f>
        <v>82.974784053014119</v>
      </c>
      <c r="H10" s="121">
        <f>+D10/D6*100</f>
        <v>32.123946854473388</v>
      </c>
    </row>
    <row r="11" spans="1:8" ht="17.25" hidden="1" customHeight="1">
      <c r="A11" s="93"/>
      <c r="B11" s="124" t="s">
        <v>11</v>
      </c>
      <c r="C11" s="125"/>
      <c r="E11" s="125">
        <f t="shared" si="1"/>
        <v>0</v>
      </c>
      <c r="F11" s="130" t="e">
        <f t="shared" si="2"/>
        <v>#DIV/0!</v>
      </c>
    </row>
    <row r="12" spans="1:8" ht="17.25" customHeight="1">
      <c r="A12" s="93"/>
      <c r="B12" s="124" t="s">
        <v>114</v>
      </c>
      <c r="C12" s="125">
        <v>11840000</v>
      </c>
      <c r="D12" s="125">
        <f>8260367</f>
        <v>8260367</v>
      </c>
      <c r="E12" s="125">
        <f t="shared" si="1"/>
        <v>-3579633</v>
      </c>
      <c r="F12" s="130">
        <f t="shared" si="2"/>
        <v>69.766613175675673</v>
      </c>
    </row>
    <row r="13" spans="1:8" ht="17.25" customHeight="1">
      <c r="A13" s="93"/>
      <c r="B13" s="124" t="s">
        <v>164</v>
      </c>
      <c r="C13" s="125">
        <v>11450000</v>
      </c>
      <c r="D13" s="125">
        <v>8957634.9900000002</v>
      </c>
      <c r="E13" s="125">
        <f t="shared" si="1"/>
        <v>-2492365.0099999998</v>
      </c>
      <c r="F13" s="130">
        <f t="shared" si="2"/>
        <v>78.232619999999997</v>
      </c>
    </row>
    <row r="14" spans="1:8" ht="17.25" customHeight="1">
      <c r="A14" s="93"/>
      <c r="B14" s="124" t="s">
        <v>165</v>
      </c>
      <c r="C14" s="125">
        <v>100000</v>
      </c>
      <c r="D14" s="125">
        <v>2189800</v>
      </c>
      <c r="E14" s="125">
        <f>D14-C14</f>
        <v>2089800</v>
      </c>
      <c r="F14" s="130">
        <f>D14/C14*100</f>
        <v>2189.8000000000002</v>
      </c>
    </row>
    <row r="15" spans="1:8" ht="17.25" customHeight="1">
      <c r="A15" s="93"/>
      <c r="B15" s="251" t="s">
        <v>167</v>
      </c>
      <c r="C15" s="125"/>
      <c r="D15" s="125"/>
      <c r="E15" s="125">
        <f t="shared" si="1"/>
        <v>0</v>
      </c>
      <c r="F15" s="130" t="e">
        <f t="shared" si="2"/>
        <v>#DIV/0!</v>
      </c>
    </row>
    <row r="16" spans="1:8" ht="17.25" customHeight="1">
      <c r="A16" s="93"/>
      <c r="B16" s="124" t="s">
        <v>166</v>
      </c>
      <c r="C16" s="125"/>
      <c r="D16" s="125"/>
      <c r="E16" s="125">
        <f t="shared" si="1"/>
        <v>0</v>
      </c>
      <c r="F16" s="130" t="e">
        <f t="shared" si="2"/>
        <v>#DIV/0!</v>
      </c>
    </row>
    <row r="17" spans="1:8" ht="17.25" customHeight="1">
      <c r="A17" s="92"/>
      <c r="B17" s="119" t="s">
        <v>12</v>
      </c>
      <c r="C17" s="120">
        <f>C18</f>
        <v>2070000</v>
      </c>
      <c r="D17" s="120">
        <f t="shared" ref="D17:E17" si="3">D18</f>
        <v>870000</v>
      </c>
      <c r="E17" s="120">
        <f t="shared" si="3"/>
        <v>-1200000</v>
      </c>
      <c r="F17" s="120">
        <f>D17/C17*100</f>
        <v>42.028985507246375</v>
      </c>
    </row>
    <row r="18" spans="1:8" ht="17.25" customHeight="1">
      <c r="A18" s="93"/>
      <c r="B18" s="124" t="s">
        <v>73</v>
      </c>
      <c r="C18" s="125">
        <v>2070000</v>
      </c>
      <c r="D18" s="125">
        <v>870000</v>
      </c>
      <c r="E18" s="125">
        <f>D18-C18</f>
        <v>-1200000</v>
      </c>
      <c r="F18" s="130">
        <f>D18/C18*100</f>
        <v>42.028985507246375</v>
      </c>
    </row>
    <row r="19" spans="1:8" ht="17.25" customHeight="1">
      <c r="A19" s="93"/>
      <c r="B19" s="124" t="s">
        <v>162</v>
      </c>
      <c r="C19" s="125"/>
      <c r="D19" s="125"/>
      <c r="E19" s="125"/>
      <c r="F19" s="130"/>
    </row>
    <row r="20" spans="1:8" ht="17.25" customHeight="1">
      <c r="A20" s="92"/>
      <c r="B20" s="119" t="s">
        <v>13</v>
      </c>
      <c r="C20" s="120">
        <f>C21+C22+C23+C24</f>
        <v>5500000</v>
      </c>
      <c r="D20" s="120">
        <f t="shared" ref="D20:E20" si="4">D21+D22+D23+D24</f>
        <v>3105446</v>
      </c>
      <c r="E20" s="120">
        <f t="shared" si="4"/>
        <v>-2394554</v>
      </c>
      <c r="F20" s="120">
        <f>E20/C20*100</f>
        <v>-43.537345454545459</v>
      </c>
      <c r="H20" s="121">
        <f>+D20/D6*100</f>
        <v>5.1401587008584766</v>
      </c>
    </row>
    <row r="21" spans="1:8" ht="17.25" customHeight="1">
      <c r="A21" s="93"/>
      <c r="B21" s="124" t="s">
        <v>74</v>
      </c>
      <c r="C21" s="125">
        <v>2750000</v>
      </c>
      <c r="D21" s="125">
        <v>2717700</v>
      </c>
      <c r="E21" s="125">
        <f t="shared" si="1"/>
        <v>-32300</v>
      </c>
      <c r="F21" s="130">
        <f t="shared" si="2"/>
        <v>98.825454545454548</v>
      </c>
    </row>
    <row r="22" spans="1:8" ht="17.25" customHeight="1">
      <c r="A22" s="93"/>
      <c r="B22" s="250" t="s">
        <v>117</v>
      </c>
      <c r="C22" s="125">
        <v>2500000</v>
      </c>
      <c r="D22" s="125">
        <v>180746</v>
      </c>
      <c r="E22" s="125">
        <f t="shared" si="1"/>
        <v>-2319254</v>
      </c>
      <c r="F22" s="130">
        <f t="shared" si="2"/>
        <v>7.2298400000000003</v>
      </c>
    </row>
    <row r="23" spans="1:8" ht="17.25" customHeight="1">
      <c r="A23" s="93"/>
      <c r="B23" s="124" t="s">
        <v>77</v>
      </c>
      <c r="C23" s="125">
        <v>250000</v>
      </c>
      <c r="D23" s="125">
        <v>207000</v>
      </c>
      <c r="E23" s="125">
        <f>D23-C23</f>
        <v>-43000</v>
      </c>
      <c r="F23" s="130">
        <f>D23/C23*100</f>
        <v>82.8</v>
      </c>
    </row>
    <row r="24" spans="1:8" ht="17.25" customHeight="1">
      <c r="A24" s="93"/>
      <c r="B24" s="124" t="s">
        <v>163</v>
      </c>
      <c r="C24" s="125"/>
      <c r="D24" s="125"/>
      <c r="E24" s="125"/>
      <c r="F24" s="130"/>
    </row>
    <row r="25" spans="1:8" ht="17.25" customHeight="1">
      <c r="A25" s="93"/>
      <c r="B25" s="119" t="s">
        <v>154</v>
      </c>
      <c r="C25" s="120">
        <f>C26+C27+C28+C29</f>
        <v>2400000</v>
      </c>
      <c r="D25" s="120">
        <f t="shared" ref="D25:E25" si="5">D26+D27+D28+D29</f>
        <v>29850024</v>
      </c>
      <c r="E25" s="120">
        <f t="shared" si="5"/>
        <v>27450024</v>
      </c>
      <c r="F25" s="128">
        <f>E25/C25*100</f>
        <v>1143.751</v>
      </c>
    </row>
    <row r="26" spans="1:8" ht="17.25" customHeight="1">
      <c r="A26" s="93"/>
      <c r="B26" s="124" t="s">
        <v>155</v>
      </c>
      <c r="C26" s="125"/>
      <c r="D26" s="125">
        <v>10000</v>
      </c>
      <c r="E26" s="125">
        <f>D26-C26</f>
        <v>10000</v>
      </c>
      <c r="F26" s="130"/>
    </row>
    <row r="27" spans="1:8" ht="17.25" customHeight="1">
      <c r="A27" s="93"/>
      <c r="B27" s="124" t="s">
        <v>156</v>
      </c>
      <c r="C27" s="125"/>
      <c r="D27" s="125"/>
      <c r="E27" s="125"/>
      <c r="F27" s="130"/>
    </row>
    <row r="28" spans="1:8" ht="17.25" customHeight="1">
      <c r="A28" s="93"/>
      <c r="B28" s="124" t="s">
        <v>157</v>
      </c>
      <c r="C28" s="125">
        <v>2400000</v>
      </c>
      <c r="D28" s="125">
        <v>489944</v>
      </c>
      <c r="E28" s="125">
        <f t="shared" si="1"/>
        <v>-1910056</v>
      </c>
      <c r="F28" s="130"/>
    </row>
    <row r="29" spans="1:8">
      <c r="A29" s="93"/>
      <c r="B29" s="126" t="s">
        <v>76</v>
      </c>
      <c r="C29" s="125"/>
      <c r="D29" s="125">
        <v>29350080</v>
      </c>
      <c r="E29" s="125">
        <f t="shared" si="1"/>
        <v>29350080</v>
      </c>
      <c r="F29" s="130" t="e">
        <f t="shared" si="2"/>
        <v>#DIV/0!</v>
      </c>
    </row>
    <row r="30" spans="1:8" ht="17.25" customHeight="1">
      <c r="A30" s="92"/>
      <c r="B30" s="119" t="s">
        <v>14</v>
      </c>
      <c r="C30" s="120">
        <f>C31+C32+C34</f>
        <v>1300000</v>
      </c>
      <c r="D30" s="120">
        <f t="shared" ref="D30:E30" si="6">D31+D32+D34</f>
        <v>7182100</v>
      </c>
      <c r="E30" s="120">
        <f t="shared" si="6"/>
        <v>5882100</v>
      </c>
      <c r="F30" s="128">
        <f t="shared" si="2"/>
        <v>552.46923076923076</v>
      </c>
      <c r="H30" s="121">
        <f>+D30/D6*100</f>
        <v>11.887868539796107</v>
      </c>
    </row>
    <row r="31" spans="1:8" ht="17.25" customHeight="1">
      <c r="A31" s="93"/>
      <c r="B31" s="124" t="s">
        <v>158</v>
      </c>
      <c r="C31" s="125">
        <v>1300000</v>
      </c>
      <c r="D31" s="125">
        <v>3567000</v>
      </c>
      <c r="E31" s="125">
        <f t="shared" si="1"/>
        <v>2267000</v>
      </c>
      <c r="F31" s="130">
        <f t="shared" si="2"/>
        <v>274.38461538461542</v>
      </c>
    </row>
    <row r="32" spans="1:8" ht="17.25" customHeight="1">
      <c r="A32" s="93"/>
      <c r="B32" s="124" t="s">
        <v>159</v>
      </c>
      <c r="C32" s="125"/>
      <c r="D32" s="125"/>
      <c r="E32" s="125">
        <f t="shared" si="1"/>
        <v>0</v>
      </c>
      <c r="F32" s="130"/>
    </row>
    <row r="33" spans="1:7" ht="17.25" customHeight="1">
      <c r="A33" s="93"/>
      <c r="B33" s="124" t="s">
        <v>160</v>
      </c>
      <c r="C33" s="125"/>
      <c r="D33" s="125"/>
      <c r="E33" s="125">
        <f t="shared" si="1"/>
        <v>0</v>
      </c>
      <c r="F33" s="130"/>
    </row>
    <row r="34" spans="1:7" ht="17.25" customHeight="1">
      <c r="A34" s="93"/>
      <c r="B34" s="124" t="s">
        <v>161</v>
      </c>
      <c r="C34" s="125"/>
      <c r="D34" s="125">
        <f>1312000+2303100</f>
        <v>3615100</v>
      </c>
      <c r="E34" s="125">
        <f t="shared" ref="E34" si="7">D34-C34</f>
        <v>3615100</v>
      </c>
      <c r="F34" s="130" t="e">
        <f t="shared" si="2"/>
        <v>#DIV/0!</v>
      </c>
    </row>
    <row r="35" spans="1:7">
      <c r="B35" s="212" t="s">
        <v>15</v>
      </c>
      <c r="C35" s="212"/>
      <c r="D35" s="212"/>
      <c r="E35" s="212"/>
      <c r="F35" s="212"/>
    </row>
    <row r="36" spans="1:7" ht="28.5" customHeight="1">
      <c r="B36" s="213"/>
      <c r="C36" s="213"/>
      <c r="D36" s="213"/>
      <c r="E36" s="213"/>
      <c r="F36" s="213"/>
    </row>
    <row r="37" spans="1:7" ht="15.75" customHeight="1">
      <c r="B37" s="199"/>
      <c r="C37" s="199"/>
      <c r="D37" s="199"/>
      <c r="E37" s="199"/>
      <c r="F37" s="199"/>
    </row>
    <row r="38" spans="1:7" ht="15.75" customHeight="1">
      <c r="B38" s="199"/>
      <c r="C38" s="199"/>
      <c r="D38" s="199"/>
      <c r="E38" s="199"/>
      <c r="F38" s="199"/>
    </row>
    <row r="39" spans="1:7">
      <c r="B39" s="95"/>
      <c r="C39" s="94"/>
      <c r="D39" s="94"/>
      <c r="E39" s="94"/>
      <c r="F39" s="131"/>
    </row>
    <row r="40" spans="1:7">
      <c r="B40" s="95"/>
      <c r="C40" s="94"/>
      <c r="D40" s="94"/>
      <c r="E40" s="94"/>
      <c r="F40" s="131"/>
    </row>
    <row r="41" spans="1:7">
      <c r="B41" s="209" t="s">
        <v>96</v>
      </c>
      <c r="C41" s="209"/>
      <c r="D41" s="209"/>
      <c r="E41" s="209"/>
      <c r="F41" s="209"/>
      <c r="G41" s="209"/>
    </row>
  </sheetData>
  <mergeCells count="4">
    <mergeCell ref="B2:E2"/>
    <mergeCell ref="E4:F4"/>
    <mergeCell ref="B35:F36"/>
    <mergeCell ref="B41:G41"/>
  </mergeCells>
  <pageMargins left="0.7" right="0.7" top="0.75" bottom="0.75" header="0.3" footer="0.3"/>
  <pageSetup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zoomScale="98" zoomScaleNormal="98" workbookViewId="0">
      <selection activeCell="O15" sqref="O15"/>
    </sheetView>
  </sheetViews>
  <sheetFormatPr defaultColWidth="15.140625" defaultRowHeight="14.25"/>
  <cols>
    <col min="1" max="1" width="5.5703125" style="86" customWidth="1"/>
    <col min="2" max="2" width="28.7109375" style="8" customWidth="1"/>
    <col min="3" max="3" width="15.140625" style="8"/>
    <col min="4" max="4" width="16.85546875" style="8" customWidth="1"/>
    <col min="5" max="5" width="17" style="8" customWidth="1"/>
    <col min="6" max="6" width="15.140625" style="8"/>
    <col min="7" max="7" width="17" style="8" customWidth="1"/>
    <col min="8" max="8" width="18.42578125" style="8" customWidth="1"/>
    <col min="9" max="9" width="14.28515625" style="8" bestFit="1" customWidth="1"/>
    <col min="10" max="10" width="14.42578125" style="8" customWidth="1"/>
    <col min="11" max="11" width="15.140625" style="31" customWidth="1"/>
    <col min="12" max="12" width="14.5703125" style="8" customWidth="1"/>
    <col min="13" max="13" width="18.140625" style="8" customWidth="1"/>
    <col min="14" max="14" width="16.5703125" style="31" customWidth="1"/>
    <col min="15" max="15" width="15.85546875" style="8" customWidth="1"/>
    <col min="16" max="16384" width="15.140625" style="8"/>
  </cols>
  <sheetData>
    <row r="1" spans="1:16">
      <c r="M1" s="2" t="s">
        <v>50</v>
      </c>
    </row>
    <row r="2" spans="1:16">
      <c r="M2" s="2"/>
    </row>
    <row r="3" spans="1:16" ht="15">
      <c r="C3" s="205" t="s">
        <v>132</v>
      </c>
      <c r="D3" s="205"/>
      <c r="E3" s="205"/>
      <c r="F3" s="205"/>
      <c r="G3" s="205"/>
      <c r="H3" s="205"/>
      <c r="I3" s="205"/>
      <c r="J3" s="205"/>
      <c r="K3" s="205"/>
      <c r="L3" s="205"/>
    </row>
    <row r="5" spans="1:16">
      <c r="M5" s="206" t="s">
        <v>1</v>
      </c>
      <c r="N5" s="206"/>
    </row>
    <row r="6" spans="1:16" ht="15" customHeight="1">
      <c r="A6" s="215" t="s">
        <v>35</v>
      </c>
      <c r="B6" s="216" t="s">
        <v>51</v>
      </c>
      <c r="C6" s="217" t="s">
        <v>37</v>
      </c>
      <c r="D6" s="218" t="s">
        <v>17</v>
      </c>
      <c r="E6" s="219"/>
      <c r="F6" s="219"/>
      <c r="G6" s="219"/>
      <c r="H6" s="219"/>
      <c r="I6" s="219"/>
      <c r="J6" s="219"/>
      <c r="K6" s="219"/>
      <c r="L6" s="220"/>
      <c r="M6" s="221" t="s">
        <v>52</v>
      </c>
      <c r="N6" s="217" t="s">
        <v>38</v>
      </c>
    </row>
    <row r="7" spans="1:16" ht="15" customHeight="1">
      <c r="A7" s="215"/>
      <c r="B7" s="216"/>
      <c r="C7" s="217"/>
      <c r="D7" s="221" t="s">
        <v>20</v>
      </c>
      <c r="E7" s="224" t="s">
        <v>84</v>
      </c>
      <c r="F7" s="224" t="s">
        <v>53</v>
      </c>
      <c r="G7" s="224" t="s">
        <v>81</v>
      </c>
      <c r="H7" s="224" t="s">
        <v>82</v>
      </c>
      <c r="I7" s="226" t="s">
        <v>54</v>
      </c>
      <c r="J7" s="227"/>
      <c r="K7" s="227"/>
      <c r="L7" s="228"/>
      <c r="M7" s="222"/>
      <c r="N7" s="217"/>
    </row>
    <row r="8" spans="1:16" s="33" customFormat="1" ht="95.25" customHeight="1">
      <c r="A8" s="215"/>
      <c r="B8" s="216"/>
      <c r="C8" s="217"/>
      <c r="D8" s="223"/>
      <c r="E8" s="225"/>
      <c r="F8" s="225"/>
      <c r="G8" s="225"/>
      <c r="H8" s="225"/>
      <c r="I8" s="63" t="s">
        <v>92</v>
      </c>
      <c r="J8" s="63" t="s">
        <v>93</v>
      </c>
      <c r="K8" s="83" t="s">
        <v>83</v>
      </c>
      <c r="L8" s="63" t="s">
        <v>133</v>
      </c>
      <c r="M8" s="223"/>
      <c r="N8" s="217"/>
    </row>
    <row r="9" spans="1:16" s="62" customFormat="1">
      <c r="A9" s="87">
        <v>1</v>
      </c>
      <c r="B9" s="37" t="s">
        <v>63</v>
      </c>
      <c r="C9" s="37">
        <v>0</v>
      </c>
      <c r="D9" s="61">
        <f>SUM(E9:L9)</f>
        <v>43245000</v>
      </c>
      <c r="E9" s="61"/>
      <c r="F9" s="61">
        <v>38245000</v>
      </c>
      <c r="G9" s="61"/>
      <c r="H9" s="61"/>
      <c r="I9" s="61">
        <v>5000000</v>
      </c>
      <c r="J9" s="61"/>
      <c r="K9" s="37"/>
      <c r="L9" s="61"/>
      <c r="M9" s="61">
        <v>43245000</v>
      </c>
      <c r="N9" s="37">
        <f>+C9+D9-M9</f>
        <v>0</v>
      </c>
    </row>
    <row r="10" spans="1:16" s="62" customFormat="1">
      <c r="A10" s="87">
        <v>2</v>
      </c>
      <c r="B10" s="37" t="s">
        <v>64</v>
      </c>
      <c r="C10" s="37">
        <v>0</v>
      </c>
      <c r="D10" s="61">
        <f t="shared" ref="D10:D14" si="0">SUM(E10:L10)</f>
        <v>357158852</v>
      </c>
      <c r="E10" s="61"/>
      <c r="F10" s="61"/>
      <c r="G10" s="61">
        <v>336939000</v>
      </c>
      <c r="H10" s="61"/>
      <c r="I10" s="61">
        <v>11919852</v>
      </c>
      <c r="J10" s="61">
        <v>8300000</v>
      </c>
      <c r="K10" s="37"/>
      <c r="L10" s="61"/>
      <c r="M10" s="61">
        <v>357158852</v>
      </c>
      <c r="N10" s="37">
        <f t="shared" ref="N10:N20" si="1">+C10+D10-M10</f>
        <v>0</v>
      </c>
    </row>
    <row r="11" spans="1:16" s="62" customFormat="1">
      <c r="A11" s="87">
        <v>3</v>
      </c>
      <c r="B11" s="37" t="s">
        <v>80</v>
      </c>
      <c r="C11" s="37">
        <v>11551615.799999997</v>
      </c>
      <c r="D11" s="61">
        <f t="shared" si="0"/>
        <v>114344900</v>
      </c>
      <c r="E11" s="61"/>
      <c r="F11" s="61"/>
      <c r="G11" s="61"/>
      <c r="H11" s="61"/>
      <c r="I11" s="61"/>
      <c r="J11" s="61"/>
      <c r="K11" s="37">
        <v>114344900</v>
      </c>
      <c r="L11" s="61"/>
      <c r="M11" s="61">
        <v>110727225</v>
      </c>
      <c r="N11" s="37">
        <f t="shared" si="1"/>
        <v>15169290.799999997</v>
      </c>
    </row>
    <row r="12" spans="1:16" s="62" customFormat="1">
      <c r="A12" s="87">
        <v>4</v>
      </c>
      <c r="B12" s="37" t="s">
        <v>85</v>
      </c>
      <c r="C12" s="37">
        <v>6235632</v>
      </c>
      <c r="D12" s="61">
        <f t="shared" si="0"/>
        <v>69925487</v>
      </c>
      <c r="E12" s="61"/>
      <c r="F12" s="61"/>
      <c r="G12" s="61"/>
      <c r="H12" s="61">
        <v>69925487</v>
      </c>
      <c r="I12" s="61"/>
      <c r="J12" s="61"/>
      <c r="K12" s="37"/>
      <c r="L12" s="61"/>
      <c r="M12" s="61">
        <v>66000000</v>
      </c>
      <c r="N12" s="37">
        <f>+C12+D12-M12</f>
        <v>10161119</v>
      </c>
    </row>
    <row r="13" spans="1:16" s="62" customFormat="1">
      <c r="A13" s="87">
        <v>5</v>
      </c>
      <c r="B13" s="37" t="s">
        <v>87</v>
      </c>
      <c r="C13" s="37">
        <v>27229988.769999981</v>
      </c>
      <c r="D13" s="61">
        <f>SUM(E13:L13)</f>
        <v>704187071.99000001</v>
      </c>
      <c r="E13" s="61">
        <v>643771700</v>
      </c>
      <c r="F13" s="61">
        <f>60429371.99-14000</f>
        <v>60415371.990000002</v>
      </c>
      <c r="G13" s="61"/>
      <c r="H13" s="61"/>
      <c r="I13" s="61"/>
      <c r="J13" s="61"/>
      <c r="K13" s="37"/>
      <c r="L13" s="61"/>
      <c r="M13" s="61">
        <v>705417900</v>
      </c>
      <c r="N13" s="37">
        <f>+C13+D13-M13</f>
        <v>25999160.75999999</v>
      </c>
      <c r="O13" s="62">
        <v>25999160.760000002</v>
      </c>
      <c r="P13" s="62">
        <f>+N13-O13</f>
        <v>0</v>
      </c>
    </row>
    <row r="14" spans="1:16" s="62" customFormat="1">
      <c r="A14" s="87">
        <v>6</v>
      </c>
      <c r="B14" s="37" t="s">
        <v>120</v>
      </c>
      <c r="C14" s="37"/>
      <c r="D14" s="61">
        <f t="shared" si="0"/>
        <v>65061551</v>
      </c>
      <c r="E14" s="61"/>
      <c r="F14" s="61"/>
      <c r="G14" s="61"/>
      <c r="H14" s="61">
        <v>65061551</v>
      </c>
      <c r="I14" s="61"/>
      <c r="J14" s="61"/>
      <c r="K14" s="37"/>
      <c r="L14" s="61"/>
      <c r="M14" s="61">
        <v>65061551</v>
      </c>
      <c r="N14" s="37">
        <f t="shared" ref="N14" si="2">+C14+D14-M14</f>
        <v>0</v>
      </c>
      <c r="O14" s="62">
        <f>+C13-N13</f>
        <v>1230828.0099999905</v>
      </c>
    </row>
    <row r="15" spans="1:16" s="62" customFormat="1">
      <c r="A15" s="88"/>
      <c r="B15" s="39" t="s">
        <v>66</v>
      </c>
      <c r="C15" s="39">
        <f t="shared" ref="C15:M15" si="3">SUM(C9:C14)</f>
        <v>45017236.569999978</v>
      </c>
      <c r="D15" s="39">
        <f t="shared" si="3"/>
        <v>1353922861.99</v>
      </c>
      <c r="E15" s="39">
        <f t="shared" si="3"/>
        <v>643771700</v>
      </c>
      <c r="F15" s="39">
        <f t="shared" si="3"/>
        <v>98660371.99000001</v>
      </c>
      <c r="G15" s="39">
        <f t="shared" si="3"/>
        <v>336939000</v>
      </c>
      <c r="H15" s="39">
        <f t="shared" si="3"/>
        <v>134987038</v>
      </c>
      <c r="I15" s="39">
        <f t="shared" si="3"/>
        <v>16919852</v>
      </c>
      <c r="J15" s="39">
        <f t="shared" si="3"/>
        <v>8300000</v>
      </c>
      <c r="K15" s="39">
        <f t="shared" si="3"/>
        <v>114344900</v>
      </c>
      <c r="L15" s="39">
        <f t="shared" si="3"/>
        <v>0</v>
      </c>
      <c r="M15" s="39">
        <f t="shared" si="3"/>
        <v>1347610528</v>
      </c>
      <c r="N15" s="39">
        <f>SUM(N9:N14)</f>
        <v>51329570.559999987</v>
      </c>
    </row>
    <row r="16" spans="1:16" s="62" customFormat="1">
      <c r="A16" s="87">
        <v>1</v>
      </c>
      <c r="B16" s="37" t="s">
        <v>56</v>
      </c>
      <c r="C16" s="37">
        <v>0</v>
      </c>
      <c r="D16" s="61">
        <f>+E16+F16+G16+H16+I16+L16+J16+L16+K16</f>
        <v>1230740447</v>
      </c>
      <c r="E16" s="61"/>
      <c r="F16" s="61">
        <v>143180000</v>
      </c>
      <c r="G16" s="61">
        <v>1082523400</v>
      </c>
      <c r="H16" s="61"/>
      <c r="I16" s="61">
        <v>5037047</v>
      </c>
      <c r="J16" s="61"/>
      <c r="K16" s="37"/>
      <c r="L16" s="61"/>
      <c r="M16" s="61">
        <v>1230740447</v>
      </c>
      <c r="N16" s="37">
        <f t="shared" si="1"/>
        <v>0</v>
      </c>
    </row>
    <row r="17" spans="1:14" s="62" customFormat="1">
      <c r="A17" s="87">
        <v>2</v>
      </c>
      <c r="B17" s="37" t="s">
        <v>33</v>
      </c>
      <c r="C17" s="37"/>
      <c r="D17" s="61">
        <f t="shared" ref="D17:D20" si="4">+E17+F17+G17+H17+I17+L17+J17+L17+K17</f>
        <v>351500500</v>
      </c>
      <c r="E17" s="61"/>
      <c r="F17" s="61">
        <f>+'[1]ОНТЗ-1'!$G$12+'[1]ОНТЗ-1'!$J$12</f>
        <v>45959700</v>
      </c>
      <c r="G17" s="61">
        <v>305335800</v>
      </c>
      <c r="H17" s="61"/>
      <c r="I17" s="61">
        <v>205000</v>
      </c>
      <c r="J17" s="61"/>
      <c r="K17" s="37"/>
      <c r="L17" s="61"/>
      <c r="M17" s="61">
        <v>351500500</v>
      </c>
      <c r="N17" s="37">
        <f t="shared" si="1"/>
        <v>0</v>
      </c>
    </row>
    <row r="18" spans="1:14" s="62" customFormat="1">
      <c r="A18" s="87">
        <v>3</v>
      </c>
      <c r="B18" s="37" t="s">
        <v>58</v>
      </c>
      <c r="C18" s="37"/>
      <c r="D18" s="61">
        <f t="shared" ref="D18" si="5">+E18+F18+G18+H18+I18+L18+J18+L18+K18</f>
        <v>103368100</v>
      </c>
      <c r="E18" s="61"/>
      <c r="F18" s="61">
        <f>+'[1]ОНТЗ-1'!$G$14+'[1]ОНТЗ-1'!$J$14</f>
        <v>102848100</v>
      </c>
      <c r="G18" s="61"/>
      <c r="H18" s="61">
        <f>+'[1]ОНТЗ-1'!$I$14</f>
        <v>520000</v>
      </c>
      <c r="I18" s="61"/>
      <c r="J18" s="61"/>
      <c r="K18" s="37"/>
      <c r="L18" s="61"/>
      <c r="M18" s="61">
        <v>103368100</v>
      </c>
      <c r="N18" s="37">
        <f t="shared" ref="N18" si="6">+C18+D18-M18</f>
        <v>0</v>
      </c>
    </row>
    <row r="19" spans="1:14" s="62" customFormat="1">
      <c r="A19" s="87">
        <v>4</v>
      </c>
      <c r="B19" s="37" t="s">
        <v>57</v>
      </c>
      <c r="C19" s="37"/>
      <c r="D19" s="61">
        <f>+E19+F19+G19+H19+I19+J19+K19+L19</f>
        <v>491322281</v>
      </c>
      <c r="E19" s="61"/>
      <c r="F19" s="61">
        <f>+'[1]ОНТЗ-1'!$G$13</f>
        <v>24946100</v>
      </c>
      <c r="G19" s="61">
        <f>+'[1]ОНТЗ-1'!$E$13</f>
        <v>374005600</v>
      </c>
      <c r="H19" s="61"/>
      <c r="I19" s="61">
        <v>70775331</v>
      </c>
      <c r="J19" s="61"/>
      <c r="K19" s="37"/>
      <c r="L19" s="61">
        <v>21595250</v>
      </c>
      <c r="M19" s="61">
        <v>491322281</v>
      </c>
      <c r="N19" s="37">
        <f>+C19+D19-M19</f>
        <v>0</v>
      </c>
    </row>
    <row r="20" spans="1:14" s="62" customFormat="1">
      <c r="A20" s="87"/>
      <c r="B20" s="37"/>
      <c r="C20" s="37"/>
      <c r="D20" s="61">
        <f t="shared" si="4"/>
        <v>0</v>
      </c>
      <c r="E20" s="61"/>
      <c r="F20" s="61"/>
      <c r="G20" s="61"/>
      <c r="H20" s="61"/>
      <c r="I20" s="61"/>
      <c r="J20" s="61"/>
      <c r="K20" s="37"/>
      <c r="L20" s="61"/>
      <c r="M20" s="61"/>
      <c r="N20" s="37">
        <f t="shared" si="1"/>
        <v>0</v>
      </c>
    </row>
    <row r="21" spans="1:14" s="62" customFormat="1">
      <c r="A21" s="88"/>
      <c r="B21" s="39" t="s">
        <v>67</v>
      </c>
      <c r="C21" s="39">
        <f t="shared" ref="C21:N21" si="7">SUM(C16:C20)</f>
        <v>0</v>
      </c>
      <c r="D21" s="39">
        <f t="shared" si="7"/>
        <v>2176931328</v>
      </c>
      <c r="E21" s="39">
        <f t="shared" si="7"/>
        <v>0</v>
      </c>
      <c r="F21" s="39">
        <f t="shared" si="7"/>
        <v>316933900</v>
      </c>
      <c r="G21" s="39">
        <f t="shared" si="7"/>
        <v>1761864800</v>
      </c>
      <c r="H21" s="39">
        <f t="shared" si="7"/>
        <v>520000</v>
      </c>
      <c r="I21" s="39">
        <f t="shared" si="7"/>
        <v>76017378</v>
      </c>
      <c r="J21" s="39">
        <f t="shared" si="7"/>
        <v>0</v>
      </c>
      <c r="K21" s="39">
        <f t="shared" si="7"/>
        <v>0</v>
      </c>
      <c r="L21" s="39">
        <f t="shared" si="7"/>
        <v>21595250</v>
      </c>
      <c r="M21" s="39">
        <f t="shared" si="7"/>
        <v>2176931328</v>
      </c>
      <c r="N21" s="39">
        <f t="shared" si="7"/>
        <v>0</v>
      </c>
    </row>
    <row r="22" spans="1:14" s="62" customFormat="1">
      <c r="A22" s="88"/>
      <c r="B22" s="39" t="s">
        <v>68</v>
      </c>
      <c r="C22" s="39">
        <f t="shared" ref="C22:N22" si="8">+C15+C21</f>
        <v>45017236.569999978</v>
      </c>
      <c r="D22" s="39">
        <f t="shared" si="8"/>
        <v>3530854189.9899998</v>
      </c>
      <c r="E22" s="39">
        <f t="shared" si="8"/>
        <v>643771700</v>
      </c>
      <c r="F22" s="39">
        <f t="shared" si="8"/>
        <v>415594271.99000001</v>
      </c>
      <c r="G22" s="39">
        <f t="shared" si="8"/>
        <v>2098803800</v>
      </c>
      <c r="H22" s="39">
        <f t="shared" si="8"/>
        <v>135507038</v>
      </c>
      <c r="I22" s="39">
        <f t="shared" si="8"/>
        <v>92937230</v>
      </c>
      <c r="J22" s="39">
        <f t="shared" si="8"/>
        <v>8300000</v>
      </c>
      <c r="K22" s="39">
        <f t="shared" si="8"/>
        <v>114344900</v>
      </c>
      <c r="L22" s="39">
        <f t="shared" si="8"/>
        <v>21595250</v>
      </c>
      <c r="M22" s="39">
        <f t="shared" si="8"/>
        <v>3524541856</v>
      </c>
      <c r="N22" s="39">
        <f t="shared" si="8"/>
        <v>51329570.559999987</v>
      </c>
    </row>
    <row r="23" spans="1:14">
      <c r="A23" s="3"/>
      <c r="B23" s="2" t="s">
        <v>59</v>
      </c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5"/>
    </row>
    <row r="24" spans="1:14">
      <c r="A24" s="3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35"/>
      <c r="N24" s="5"/>
    </row>
    <row r="25" spans="1:14">
      <c r="J25" s="77"/>
    </row>
    <row r="26" spans="1:14">
      <c r="C26" s="209" t="s">
        <v>97</v>
      </c>
      <c r="D26" s="209"/>
      <c r="E26" s="209"/>
      <c r="F26" s="209"/>
      <c r="G26" s="209"/>
    </row>
    <row r="27" spans="1:14">
      <c r="D27" s="31"/>
      <c r="E27" s="31"/>
      <c r="I27" s="34"/>
      <c r="J27" s="77"/>
    </row>
    <row r="28" spans="1:14">
      <c r="D28" s="31"/>
      <c r="E28" s="31"/>
      <c r="G28" s="31"/>
      <c r="H28" s="31"/>
    </row>
    <row r="29" spans="1:14">
      <c r="B29" s="31"/>
      <c r="D29" s="31"/>
      <c r="E29" s="31"/>
    </row>
    <row r="30" spans="1:14">
      <c r="B30" s="31"/>
      <c r="D30" s="31"/>
      <c r="E30" s="31"/>
    </row>
    <row r="31" spans="1:14">
      <c r="B31" s="31"/>
      <c r="D31" s="31"/>
      <c r="E31" s="31"/>
    </row>
    <row r="32" spans="1:14">
      <c r="B32" s="31"/>
      <c r="D32" s="31"/>
      <c r="E32" s="31"/>
    </row>
    <row r="33" spans="4:5">
      <c r="D33" s="31"/>
      <c r="E33" s="31"/>
    </row>
    <row r="34" spans="4:5">
      <c r="D34" s="31"/>
      <c r="E34" s="31"/>
    </row>
    <row r="35" spans="4:5">
      <c r="D35" s="31"/>
      <c r="E35" s="31"/>
    </row>
    <row r="36" spans="4:5">
      <c r="D36" s="31"/>
      <c r="E36" s="31"/>
    </row>
    <row r="37" spans="4:5">
      <c r="D37" s="31"/>
      <c r="E37" s="31"/>
    </row>
  </sheetData>
  <mergeCells count="15">
    <mergeCell ref="C26:G26"/>
    <mergeCell ref="C3:L3"/>
    <mergeCell ref="M5:N5"/>
    <mergeCell ref="A6:A8"/>
    <mergeCell ref="B6:B8"/>
    <mergeCell ref="C6:C8"/>
    <mergeCell ref="D6:L6"/>
    <mergeCell ref="M6:M8"/>
    <mergeCell ref="N6:N8"/>
    <mergeCell ref="D7:D8"/>
    <mergeCell ref="E7:E8"/>
    <mergeCell ref="F7:F8"/>
    <mergeCell ref="G7:G8"/>
    <mergeCell ref="H7:H8"/>
    <mergeCell ref="I7:L7"/>
  </mergeCells>
  <pageMargins left="0.37" right="0.17" top="0.75" bottom="0.75" header="0.3" footer="0.3"/>
  <pageSetup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G26" sqref="G26"/>
    </sheetView>
  </sheetViews>
  <sheetFormatPr defaultColWidth="9.140625" defaultRowHeight="14.25"/>
  <cols>
    <col min="1" max="1" width="4.140625" style="66" customWidth="1"/>
    <col min="2" max="2" width="30" style="66" customWidth="1"/>
    <col min="3" max="4" width="16.28515625" style="62" customWidth="1"/>
    <col min="5" max="5" width="15.28515625" style="66" customWidth="1"/>
    <col min="6" max="7" width="9.140625" style="66"/>
    <col min="8" max="9" width="16.85546875" style="66" bestFit="1" customWidth="1"/>
    <col min="10" max="16384" width="9.140625" style="66"/>
  </cols>
  <sheetData>
    <row r="1" spans="1:9">
      <c r="E1" s="230" t="s">
        <v>60</v>
      </c>
      <c r="F1" s="230"/>
    </row>
    <row r="2" spans="1:9">
      <c r="F2" s="67"/>
    </row>
    <row r="3" spans="1:9" ht="15" customHeight="1">
      <c r="B3" s="231" t="s">
        <v>128</v>
      </c>
      <c r="C3" s="231"/>
      <c r="D3" s="231"/>
      <c r="E3" s="231"/>
      <c r="F3" s="231"/>
    </row>
    <row r="5" spans="1:9">
      <c r="E5" s="232" t="s">
        <v>1</v>
      </c>
      <c r="F5" s="232"/>
    </row>
    <row r="6" spans="1:9" ht="15" customHeight="1">
      <c r="A6" s="233" t="s">
        <v>35</v>
      </c>
      <c r="B6" s="233" t="s">
        <v>51</v>
      </c>
      <c r="C6" s="234" t="s">
        <v>94</v>
      </c>
      <c r="D6" s="234"/>
      <c r="E6" s="233" t="s">
        <v>5</v>
      </c>
      <c r="F6" s="233"/>
    </row>
    <row r="7" spans="1:9">
      <c r="A7" s="233"/>
      <c r="B7" s="233"/>
      <c r="C7" s="68" t="s">
        <v>3</v>
      </c>
      <c r="D7" s="68" t="s">
        <v>4</v>
      </c>
      <c r="E7" s="69" t="s">
        <v>61</v>
      </c>
      <c r="F7" s="70" t="s">
        <v>62</v>
      </c>
    </row>
    <row r="8" spans="1:9">
      <c r="A8" s="36">
        <v>1</v>
      </c>
      <c r="B8" s="36" t="s">
        <v>63</v>
      </c>
      <c r="C8" s="37">
        <v>43245000</v>
      </c>
      <c r="D8" s="37">
        <v>43245000</v>
      </c>
      <c r="E8" s="71">
        <f t="shared" ref="E8:E12" si="0">C8-D8</f>
        <v>0</v>
      </c>
      <c r="F8" s="76">
        <f>+D8/C8*100</f>
        <v>100</v>
      </c>
      <c r="H8" s="62"/>
      <c r="I8" s="62"/>
    </row>
    <row r="9" spans="1:9">
      <c r="A9" s="36">
        <v>2</v>
      </c>
      <c r="B9" s="36" t="s">
        <v>64</v>
      </c>
      <c r="C9" s="37">
        <v>345239000</v>
      </c>
      <c r="D9" s="37">
        <v>345239000</v>
      </c>
      <c r="E9" s="71">
        <f t="shared" si="0"/>
        <v>0</v>
      </c>
      <c r="F9" s="76">
        <f t="shared" ref="F9:F14" si="1">+D9/C9*100</f>
        <v>100</v>
      </c>
      <c r="H9" s="62"/>
      <c r="I9" s="62"/>
    </row>
    <row r="10" spans="1:9">
      <c r="A10" s="36">
        <v>3</v>
      </c>
      <c r="B10" s="36" t="s">
        <v>55</v>
      </c>
      <c r="C10" s="37"/>
      <c r="D10" s="37"/>
      <c r="E10" s="71">
        <f t="shared" si="0"/>
        <v>0</v>
      </c>
      <c r="F10" s="76" t="e">
        <f t="shared" si="1"/>
        <v>#DIV/0!</v>
      </c>
      <c r="H10" s="62"/>
      <c r="I10" s="62"/>
    </row>
    <row r="11" spans="1:9">
      <c r="A11" s="36">
        <v>4</v>
      </c>
      <c r="B11" s="36" t="s">
        <v>65</v>
      </c>
      <c r="C11" s="37">
        <v>125896500</v>
      </c>
      <c r="D11" s="37">
        <v>110727225</v>
      </c>
      <c r="E11" s="71">
        <f t="shared" si="0"/>
        <v>15169275</v>
      </c>
      <c r="F11" s="76">
        <f t="shared" si="1"/>
        <v>87.950995460556896</v>
      </c>
      <c r="H11" s="62"/>
      <c r="I11" s="62"/>
    </row>
    <row r="12" spans="1:9">
      <c r="A12" s="36">
        <v>5</v>
      </c>
      <c r="B12" s="36" t="s">
        <v>88</v>
      </c>
      <c r="C12" s="37">
        <v>70000000</v>
      </c>
      <c r="D12" s="37">
        <v>66000000</v>
      </c>
      <c r="E12" s="71">
        <f t="shared" si="0"/>
        <v>4000000</v>
      </c>
      <c r="F12" s="76"/>
      <c r="H12" s="62"/>
      <c r="I12" s="62"/>
    </row>
    <row r="13" spans="1:9">
      <c r="A13" s="72"/>
      <c r="B13" s="38" t="s">
        <v>66</v>
      </c>
      <c r="C13" s="39">
        <f>SUM(C8:C12)</f>
        <v>584380500</v>
      </c>
      <c r="D13" s="39">
        <f>SUM(D8:D12)</f>
        <v>565211225</v>
      </c>
      <c r="E13" s="39">
        <f>SUM(E8:E12)</f>
        <v>19169275</v>
      </c>
      <c r="F13" s="73"/>
      <c r="H13" s="62"/>
      <c r="I13" s="62"/>
    </row>
    <row r="14" spans="1:9">
      <c r="A14" s="36">
        <v>1</v>
      </c>
      <c r="B14" s="36" t="s">
        <v>134</v>
      </c>
      <c r="C14" s="37">
        <v>1225934600</v>
      </c>
      <c r="D14" s="37">
        <v>1225703400</v>
      </c>
      <c r="E14" s="71">
        <f>+C14-D14</f>
        <v>231200</v>
      </c>
      <c r="F14" s="76">
        <f t="shared" si="1"/>
        <v>99.981140918936461</v>
      </c>
    </row>
    <row r="15" spans="1:9">
      <c r="A15" s="36">
        <v>3</v>
      </c>
      <c r="B15" s="36" t="s">
        <v>33</v>
      </c>
      <c r="C15" s="37">
        <v>351295600</v>
      </c>
      <c r="D15" s="37">
        <v>351295500</v>
      </c>
      <c r="E15" s="71">
        <f t="shared" ref="E15:E17" si="2">+C15-D15</f>
        <v>100</v>
      </c>
      <c r="F15" s="76">
        <f t="shared" ref="F15:F17" si="3">+D15/C15*100</f>
        <v>99.999971533944631</v>
      </c>
    </row>
    <row r="16" spans="1:9">
      <c r="A16" s="36">
        <v>4</v>
      </c>
      <c r="B16" s="36" t="s">
        <v>58</v>
      </c>
      <c r="C16" s="37">
        <v>102848100</v>
      </c>
      <c r="D16" s="37">
        <v>102848100</v>
      </c>
      <c r="E16" s="71">
        <f t="shared" si="2"/>
        <v>0</v>
      </c>
      <c r="F16" s="76">
        <f t="shared" si="3"/>
        <v>100</v>
      </c>
    </row>
    <row r="17" spans="1:6">
      <c r="A17" s="36">
        <v>5</v>
      </c>
      <c r="B17" s="36" t="s">
        <v>57</v>
      </c>
      <c r="C17" s="37">
        <v>421158400</v>
      </c>
      <c r="D17" s="37">
        <v>420546950</v>
      </c>
      <c r="E17" s="71">
        <f t="shared" si="2"/>
        <v>611450</v>
      </c>
      <c r="F17" s="76">
        <f t="shared" si="3"/>
        <v>99.854817094945744</v>
      </c>
    </row>
    <row r="18" spans="1:6">
      <c r="A18" s="36"/>
      <c r="B18" s="36"/>
      <c r="C18" s="37"/>
      <c r="D18" s="37"/>
      <c r="E18" s="71"/>
      <c r="F18" s="76"/>
    </row>
    <row r="19" spans="1:6">
      <c r="A19" s="72">
        <v>6</v>
      </c>
      <c r="B19" s="38" t="s">
        <v>67</v>
      </c>
      <c r="C19" s="39">
        <f>SUM(C14:C18)</f>
        <v>2101236700</v>
      </c>
      <c r="D19" s="39">
        <f>SUM(D14:D18)</f>
        <v>2100393950</v>
      </c>
      <c r="E19" s="39">
        <f>SUM(E14:E18)</f>
        <v>842750</v>
      </c>
      <c r="F19" s="73"/>
    </row>
    <row r="20" spans="1:6" ht="15">
      <c r="A20" s="38"/>
      <c r="B20" s="38" t="s">
        <v>68</v>
      </c>
      <c r="C20" s="39">
        <f>C13+C19</f>
        <v>2685617200</v>
      </c>
      <c r="D20" s="39">
        <f>D13+D19</f>
        <v>2665605175</v>
      </c>
      <c r="E20" s="39">
        <f>E13+E19</f>
        <v>20012025</v>
      </c>
      <c r="F20" s="74"/>
    </row>
    <row r="21" spans="1:6">
      <c r="B21" s="89"/>
      <c r="C21" s="90">
        <v>2685617200</v>
      </c>
      <c r="D21" s="90">
        <v>2665605175</v>
      </c>
      <c r="E21" s="89"/>
      <c r="F21" s="89"/>
    </row>
    <row r="22" spans="1:6">
      <c r="C22" s="62">
        <f>+C20-C21</f>
        <v>0</v>
      </c>
      <c r="D22" s="62">
        <f>+D20-D21</f>
        <v>0</v>
      </c>
    </row>
    <row r="23" spans="1:6">
      <c r="B23" s="229" t="s">
        <v>98</v>
      </c>
      <c r="C23" s="229"/>
      <c r="D23" s="229"/>
      <c r="E23" s="229"/>
    </row>
  </sheetData>
  <mergeCells count="8">
    <mergeCell ref="B23:E23"/>
    <mergeCell ref="E1:F1"/>
    <mergeCell ref="B3:F3"/>
    <mergeCell ref="E5:F5"/>
    <mergeCell ref="A6:A7"/>
    <mergeCell ref="B6:B7"/>
    <mergeCell ref="C6:D6"/>
    <mergeCell ref="E6:F6"/>
  </mergeCells>
  <pageMargins left="0.7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25"/>
  <sheetViews>
    <sheetView workbookViewId="0">
      <selection activeCell="G5" sqref="G5"/>
    </sheetView>
  </sheetViews>
  <sheetFormatPr defaultColWidth="9.140625" defaultRowHeight="12.75"/>
  <cols>
    <col min="1" max="1" width="10" style="40" customWidth="1"/>
    <col min="2" max="2" width="13.28515625" style="40" customWidth="1"/>
    <col min="3" max="3" width="14" style="40" customWidth="1"/>
    <col min="4" max="4" width="15.28515625" style="40" customWidth="1"/>
    <col min="5" max="5" width="12.85546875" style="40" customWidth="1"/>
    <col min="6" max="6" width="12.5703125" style="40" customWidth="1"/>
    <col min="7" max="7" width="11.5703125" style="40" customWidth="1"/>
    <col min="8" max="9" width="13.85546875" style="40" customWidth="1"/>
    <col min="10" max="11" width="13.42578125" style="40" customWidth="1"/>
    <col min="12" max="12" width="13" style="40" customWidth="1"/>
    <col min="13" max="13" width="14.28515625" style="40" customWidth="1"/>
    <col min="14" max="14" width="12.140625" style="40" customWidth="1"/>
    <col min="15" max="15" width="12.5703125" style="40" customWidth="1"/>
    <col min="16" max="16" width="14" style="132" customWidth="1"/>
    <col min="17" max="16384" width="9.140625" style="40"/>
  </cols>
  <sheetData>
    <row r="2" spans="1:16" ht="15" customHeight="1">
      <c r="A2" s="235" t="s">
        <v>115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</row>
    <row r="3" spans="1:16">
      <c r="B3" s="75"/>
      <c r="C3" s="75"/>
      <c r="D3" s="75"/>
      <c r="E3" s="75"/>
      <c r="F3" s="75"/>
      <c r="G3" s="84"/>
      <c r="J3" s="75"/>
      <c r="K3" s="112"/>
    </row>
    <row r="4" spans="1:16">
      <c r="D4" s="58"/>
      <c r="N4" s="1"/>
    </row>
    <row r="5" spans="1:16" s="42" customFormat="1" ht="63.75">
      <c r="A5" s="41" t="s">
        <v>19</v>
      </c>
      <c r="B5" s="41" t="s">
        <v>68</v>
      </c>
      <c r="C5" s="96" t="s">
        <v>71</v>
      </c>
      <c r="D5" s="97" t="s">
        <v>72</v>
      </c>
      <c r="E5" s="97" t="s">
        <v>89</v>
      </c>
      <c r="F5" s="98" t="s">
        <v>74</v>
      </c>
      <c r="G5" s="98" t="s">
        <v>117</v>
      </c>
      <c r="H5" s="99" t="s">
        <v>78</v>
      </c>
      <c r="I5" s="99" t="s">
        <v>86</v>
      </c>
      <c r="J5" s="99" t="s">
        <v>75</v>
      </c>
      <c r="K5" s="99" t="s">
        <v>76</v>
      </c>
      <c r="L5" s="99" t="s">
        <v>91</v>
      </c>
      <c r="M5" s="99" t="s">
        <v>79</v>
      </c>
      <c r="N5" s="99" t="s">
        <v>118</v>
      </c>
      <c r="O5" s="99" t="s">
        <v>119</v>
      </c>
      <c r="P5" s="133" t="s">
        <v>131</v>
      </c>
    </row>
    <row r="6" spans="1:16">
      <c r="A6" s="43">
        <v>1</v>
      </c>
      <c r="B6" s="44">
        <f>+C6+D6+E6+F6+G6+H6+J6+L6+M6+N6+O6+I6+K6+P6</f>
        <v>2629368.1</v>
      </c>
      <c r="C6" s="45"/>
      <c r="D6" s="45"/>
      <c r="E6" s="45">
        <v>180000</v>
      </c>
      <c r="F6" s="45"/>
      <c r="G6" s="45">
        <f>1680+2986</f>
        <v>4666</v>
      </c>
      <c r="H6" s="45">
        <f>75451.82+27599.38+923913.35+956731.51+6.04</f>
        <v>1983702.1</v>
      </c>
      <c r="I6" s="45">
        <v>10000</v>
      </c>
      <c r="J6" s="45"/>
      <c r="K6" s="45"/>
      <c r="L6" s="45">
        <f>25000+20500+25500+20000+40000+40000+200000</f>
        <v>371000</v>
      </c>
      <c r="M6" s="45"/>
      <c r="N6" s="45">
        <v>80000</v>
      </c>
      <c r="O6" s="45"/>
      <c r="P6" s="134"/>
    </row>
    <row r="7" spans="1:16">
      <c r="A7" s="43">
        <v>2</v>
      </c>
      <c r="B7" s="44">
        <f t="shared" ref="B7:B17" si="0">+C7+D7+E7+F7+G7+H7+J7+L7+M7+N7+O7+I7+K7+P7</f>
        <v>848399.05</v>
      </c>
      <c r="C7" s="46">
        <f>8100+32832</f>
        <v>40932</v>
      </c>
      <c r="D7" s="45"/>
      <c r="E7" s="45">
        <v>30000</v>
      </c>
      <c r="F7" s="45">
        <v>103300</v>
      </c>
      <c r="G7" s="45"/>
      <c r="H7" s="45">
        <f>100117.53+309049.52</f>
        <v>409167.05000000005</v>
      </c>
      <c r="I7" s="45"/>
      <c r="J7" s="45"/>
      <c r="K7" s="45"/>
      <c r="L7" s="45">
        <f>70000+45000+70000</f>
        <v>185000</v>
      </c>
      <c r="M7" s="45"/>
      <c r="N7" s="45">
        <v>60000</v>
      </c>
      <c r="O7" s="45">
        <v>20000</v>
      </c>
      <c r="P7" s="134"/>
    </row>
    <row r="8" spans="1:16">
      <c r="A8" s="43">
        <v>3</v>
      </c>
      <c r="B8" s="44">
        <f t="shared" si="0"/>
        <v>1486550.51</v>
      </c>
      <c r="C8" s="46"/>
      <c r="D8" s="45">
        <v>125550</v>
      </c>
      <c r="E8" s="45"/>
      <c r="F8" s="45">
        <v>10000</v>
      </c>
      <c r="G8" s="45"/>
      <c r="H8" s="45">
        <v>377000.51</v>
      </c>
      <c r="I8" s="45"/>
      <c r="J8" s="45"/>
      <c r="K8" s="45"/>
      <c r="L8" s="45">
        <v>430000</v>
      </c>
      <c r="M8" s="45"/>
      <c r="N8" s="45">
        <v>24000</v>
      </c>
      <c r="O8" s="45">
        <v>20000</v>
      </c>
      <c r="P8" s="134">
        <v>500000</v>
      </c>
    </row>
    <row r="9" spans="1:16">
      <c r="A9" s="47">
        <v>4</v>
      </c>
      <c r="B9" s="44">
        <f t="shared" si="0"/>
        <v>2327460.62</v>
      </c>
      <c r="C9" s="46">
        <f>6450+5600</f>
        <v>12050</v>
      </c>
      <c r="D9" s="45"/>
      <c r="E9" s="45"/>
      <c r="F9" s="45">
        <v>80000</v>
      </c>
      <c r="G9" s="45">
        <f>2223+2640</f>
        <v>4863</v>
      </c>
      <c r="H9" s="45">
        <f>215307.44+340740.18</f>
        <v>556047.62</v>
      </c>
      <c r="I9" s="45"/>
      <c r="J9" s="45"/>
      <c r="K9" s="45"/>
      <c r="L9" s="45">
        <f>285000+10500</f>
        <v>295500</v>
      </c>
      <c r="M9" s="45"/>
      <c r="N9" s="45">
        <f>1375000+4000</f>
        <v>1379000</v>
      </c>
      <c r="O9" s="45"/>
      <c r="P9" s="134"/>
    </row>
    <row r="10" spans="1:16">
      <c r="A10" s="43">
        <v>5</v>
      </c>
      <c r="B10" s="44">
        <f t="shared" si="0"/>
        <v>8055293.1799999997</v>
      </c>
      <c r="C10" s="46">
        <f>5250+5814775</f>
        <v>5820025</v>
      </c>
      <c r="D10" s="45"/>
      <c r="E10" s="45"/>
      <c r="F10" s="45">
        <v>100000</v>
      </c>
      <c r="G10" s="45">
        <v>5045</v>
      </c>
      <c r="H10" s="45">
        <f>651192.1+603014.97+263016.11</f>
        <v>1517223.1799999997</v>
      </c>
      <c r="I10" s="45"/>
      <c r="J10" s="45"/>
      <c r="K10" s="45"/>
      <c r="L10" s="45">
        <v>10000</v>
      </c>
      <c r="M10" s="45"/>
      <c r="N10" s="45">
        <f>18000+500000</f>
        <v>518000</v>
      </c>
      <c r="O10" s="45">
        <v>85000</v>
      </c>
      <c r="P10" s="134"/>
    </row>
    <row r="11" spans="1:16">
      <c r="A11" s="43">
        <v>6</v>
      </c>
      <c r="B11" s="44">
        <f t="shared" si="0"/>
        <v>1363988.7</v>
      </c>
      <c r="C11" s="46"/>
      <c r="D11" s="45">
        <v>21171</v>
      </c>
      <c r="E11" s="45"/>
      <c r="F11" s="45">
        <v>350000</v>
      </c>
      <c r="G11" s="45"/>
      <c r="H11" s="45">
        <f>359679.66+508138.04</f>
        <v>867817.7</v>
      </c>
      <c r="I11" s="45"/>
      <c r="J11" s="45"/>
      <c r="K11" s="45"/>
      <c r="L11" s="45">
        <v>75000</v>
      </c>
      <c r="M11" s="45"/>
      <c r="N11" s="45"/>
      <c r="O11" s="45">
        <v>50000</v>
      </c>
      <c r="P11" s="134"/>
    </row>
    <row r="12" spans="1:16">
      <c r="A12" s="43">
        <v>7</v>
      </c>
      <c r="B12" s="44">
        <f t="shared" si="0"/>
        <v>2024944.4</v>
      </c>
      <c r="C12" s="46"/>
      <c r="D12" s="45">
        <f>412711+473258+147000+28243+316440+53105+16489+236270+14263+11460+99250</f>
        <v>1808489</v>
      </c>
      <c r="E12" s="45"/>
      <c r="F12" s="45"/>
      <c r="G12" s="45">
        <v>3472</v>
      </c>
      <c r="H12" s="45">
        <f>111113.21+36870.19</f>
        <v>147983.40000000002</v>
      </c>
      <c r="I12" s="45"/>
      <c r="J12" s="45"/>
      <c r="K12" s="45"/>
      <c r="L12" s="45">
        <v>30000</v>
      </c>
      <c r="M12" s="45"/>
      <c r="N12" s="45"/>
      <c r="O12" s="45">
        <v>35000</v>
      </c>
      <c r="P12" s="134"/>
    </row>
    <row r="13" spans="1:16">
      <c r="A13" s="43">
        <v>8</v>
      </c>
      <c r="B13" s="44">
        <f t="shared" si="0"/>
        <v>4767389.4399999995</v>
      </c>
      <c r="C13" s="46"/>
      <c r="D13" s="45"/>
      <c r="E13" s="45"/>
      <c r="F13" s="45">
        <v>1706400</v>
      </c>
      <c r="G13" s="45">
        <v>1968</v>
      </c>
      <c r="H13" s="45">
        <f>542321.08+469020.36</f>
        <v>1011341.44</v>
      </c>
      <c r="I13" s="45"/>
      <c r="J13" s="45"/>
      <c r="K13" s="45">
        <v>2047680</v>
      </c>
      <c r="L13" s="45"/>
      <c r="M13" s="45"/>
      <c r="N13" s="45"/>
      <c r="O13" s="45"/>
      <c r="P13" s="134"/>
    </row>
    <row r="14" spans="1:16">
      <c r="A14" s="43">
        <v>9</v>
      </c>
      <c r="B14" s="44">
        <f t="shared" si="0"/>
        <v>755372.5</v>
      </c>
      <c r="C14" s="46"/>
      <c r="D14" s="45"/>
      <c r="E14" s="45"/>
      <c r="F14" s="45">
        <v>20000</v>
      </c>
      <c r="G14" s="45">
        <f>3341+1680+92</f>
        <v>5113</v>
      </c>
      <c r="H14" s="45">
        <v>485459.5</v>
      </c>
      <c r="I14" s="45"/>
      <c r="J14" s="45"/>
      <c r="K14" s="45"/>
      <c r="L14" s="45">
        <v>200000</v>
      </c>
      <c r="M14" s="45"/>
      <c r="N14" s="45">
        <v>44800</v>
      </c>
      <c r="O14" s="45"/>
      <c r="P14" s="134"/>
    </row>
    <row r="15" spans="1:16">
      <c r="A15" s="43">
        <v>10</v>
      </c>
      <c r="B15" s="44">
        <f t="shared" si="0"/>
        <v>28570313.739999998</v>
      </c>
      <c r="C15" s="46"/>
      <c r="D15" s="45"/>
      <c r="E15" s="45">
        <v>60000</v>
      </c>
      <c r="F15" s="45">
        <v>20000</v>
      </c>
      <c r="G15" s="45">
        <f>1680+8003+1680</f>
        <v>11363</v>
      </c>
      <c r="H15" s="45">
        <f>269314.29+143210.37+250526.08</f>
        <v>663050.74</v>
      </c>
      <c r="I15" s="45"/>
      <c r="J15" s="45"/>
      <c r="K15" s="45">
        <v>27302400</v>
      </c>
      <c r="L15" s="45">
        <f>20500+225000+40000+110000+10000</f>
        <v>405500</v>
      </c>
      <c r="M15" s="45">
        <v>58000</v>
      </c>
      <c r="N15" s="45">
        <v>40000</v>
      </c>
      <c r="O15" s="45">
        <v>10000</v>
      </c>
      <c r="P15" s="134"/>
    </row>
    <row r="16" spans="1:16">
      <c r="A16" s="43">
        <v>11</v>
      </c>
      <c r="B16" s="44">
        <f t="shared" si="0"/>
        <v>2884995.14</v>
      </c>
      <c r="C16" s="46">
        <v>175050</v>
      </c>
      <c r="D16" s="45"/>
      <c r="E16" s="45">
        <f>120000+90000+90000</f>
        <v>300000</v>
      </c>
      <c r="F16" s="45">
        <v>20000</v>
      </c>
      <c r="G16" s="45">
        <f>11200+20000</f>
        <v>31200</v>
      </c>
      <c r="H16" s="45">
        <v>525801.14</v>
      </c>
      <c r="I16" s="45"/>
      <c r="J16" s="45">
        <v>489944</v>
      </c>
      <c r="K16" s="45"/>
      <c r="L16" s="45">
        <f>260000+45000+550000+235000</f>
        <v>1090000</v>
      </c>
      <c r="M16" s="45">
        <v>149000</v>
      </c>
      <c r="N16" s="45">
        <v>44000</v>
      </c>
      <c r="O16" s="45">
        <v>45000</v>
      </c>
      <c r="P16" s="134">
        <v>15000</v>
      </c>
    </row>
    <row r="17" spans="1:16">
      <c r="A17" s="48">
        <v>12</v>
      </c>
      <c r="B17" s="44">
        <f t="shared" si="0"/>
        <v>4701296.6099999994</v>
      </c>
      <c r="C17" s="46">
        <f>12500+244600</f>
        <v>257100</v>
      </c>
      <c r="D17" s="45"/>
      <c r="E17" s="45">
        <f>90000+60000+90000+60000</f>
        <v>300000</v>
      </c>
      <c r="F17" s="45">
        <v>308000</v>
      </c>
      <c r="G17" s="45">
        <f>100000+13056</f>
        <v>113056</v>
      </c>
      <c r="H17" s="45">
        <v>413040.61</v>
      </c>
      <c r="I17" s="45"/>
      <c r="J17" s="45"/>
      <c r="K17" s="45"/>
      <c r="L17" s="45">
        <v>150000</v>
      </c>
      <c r="M17" s="45"/>
      <c r="N17" s="45"/>
      <c r="O17" s="45">
        <v>60000</v>
      </c>
      <c r="P17" s="134">
        <f>812000+750000+748400+789700</f>
        <v>3100100</v>
      </c>
    </row>
    <row r="18" spans="1:16">
      <c r="A18" s="49" t="s">
        <v>69</v>
      </c>
      <c r="B18" s="50">
        <f>SUM(B6:B17)</f>
        <v>60415371.989999995</v>
      </c>
      <c r="C18" s="50">
        <f>SUM(C6:C17)</f>
        <v>6305157</v>
      </c>
      <c r="D18" s="50">
        <f t="shared" ref="D18:P18" si="1">SUM(D6:D17)</f>
        <v>1955210</v>
      </c>
      <c r="E18" s="50">
        <f t="shared" si="1"/>
        <v>870000</v>
      </c>
      <c r="F18" s="50">
        <f t="shared" si="1"/>
        <v>2717700</v>
      </c>
      <c r="G18" s="50">
        <f t="shared" si="1"/>
        <v>180746</v>
      </c>
      <c r="H18" s="50">
        <f t="shared" si="1"/>
        <v>8957634.9900000002</v>
      </c>
      <c r="I18" s="50">
        <f t="shared" si="1"/>
        <v>10000</v>
      </c>
      <c r="J18" s="50">
        <f t="shared" si="1"/>
        <v>489944</v>
      </c>
      <c r="K18" s="50">
        <f t="shared" si="1"/>
        <v>29350080</v>
      </c>
      <c r="L18" s="50">
        <f>SUM(L6:L17)</f>
        <v>3242000</v>
      </c>
      <c r="M18" s="50">
        <f t="shared" si="1"/>
        <v>207000</v>
      </c>
      <c r="N18" s="50">
        <f t="shared" si="1"/>
        <v>2189800</v>
      </c>
      <c r="O18" s="50">
        <f t="shared" si="1"/>
        <v>325000</v>
      </c>
      <c r="P18" s="50">
        <f t="shared" si="1"/>
        <v>3615100</v>
      </c>
    </row>
    <row r="19" spans="1:16">
      <c r="A19" s="51" t="s">
        <v>4</v>
      </c>
      <c r="B19" s="52">
        <f>+C19+D19+E19+F19+G19+H19+I19+J19+K19+L19+M19+N19+O19+P19</f>
        <v>60415371.990000002</v>
      </c>
      <c r="C19" s="52"/>
      <c r="D19" s="52">
        <f>+'ОНТО-2'!D12</f>
        <v>8260367</v>
      </c>
      <c r="E19" s="52">
        <f>+'ОНТО-2'!D18</f>
        <v>870000</v>
      </c>
      <c r="F19" s="52">
        <f>+'ОНТО-2'!D21</f>
        <v>2717700</v>
      </c>
      <c r="G19" s="52">
        <f>+'ОНТО-2'!D22</f>
        <v>180746</v>
      </c>
      <c r="H19" s="52">
        <f>+'ОНТО-2'!D13</f>
        <v>8957634.9900000002</v>
      </c>
      <c r="I19" s="52">
        <f>+'ОНТО-2'!D26</f>
        <v>10000</v>
      </c>
      <c r="J19" s="52">
        <f>+'ОНТО-2'!D28</f>
        <v>489944</v>
      </c>
      <c r="K19" s="52">
        <f>+'ОНТО-2'!D29</f>
        <v>29350080</v>
      </c>
      <c r="L19" s="52">
        <f>+'ОНТО-2'!D31</f>
        <v>3567000</v>
      </c>
      <c r="M19" s="52">
        <f>+'ОНТО-2'!D23</f>
        <v>207000</v>
      </c>
      <c r="N19" s="52">
        <f>+'ОНТО-2'!D14</f>
        <v>2189800</v>
      </c>
      <c r="O19" s="52"/>
      <c r="P19" s="134">
        <v>3615100</v>
      </c>
    </row>
    <row r="20" spans="1:16">
      <c r="A20" s="53" t="s">
        <v>5</v>
      </c>
      <c r="B20" s="54">
        <f>+B18-B19</f>
        <v>0</v>
      </c>
      <c r="C20" s="54">
        <f t="shared" ref="C20:P20" si="2">+C18-C19</f>
        <v>6305157</v>
      </c>
      <c r="D20" s="54">
        <f t="shared" si="2"/>
        <v>-6305157</v>
      </c>
      <c r="E20" s="54">
        <f t="shared" si="2"/>
        <v>0</v>
      </c>
      <c r="F20" s="54">
        <f t="shared" si="2"/>
        <v>0</v>
      </c>
      <c r="G20" s="54">
        <f t="shared" si="2"/>
        <v>0</v>
      </c>
      <c r="H20" s="54">
        <f t="shared" si="2"/>
        <v>0</v>
      </c>
      <c r="I20" s="54"/>
      <c r="J20" s="54">
        <f t="shared" si="2"/>
        <v>0</v>
      </c>
      <c r="K20" s="54"/>
      <c r="L20" s="54">
        <f t="shared" si="2"/>
        <v>-325000</v>
      </c>
      <c r="M20" s="54">
        <f t="shared" si="2"/>
        <v>0</v>
      </c>
      <c r="N20" s="54">
        <f t="shared" si="2"/>
        <v>0</v>
      </c>
      <c r="O20" s="54">
        <f t="shared" si="2"/>
        <v>325000</v>
      </c>
      <c r="P20" s="54">
        <f t="shared" si="2"/>
        <v>0</v>
      </c>
    </row>
    <row r="21" spans="1:16">
      <c r="A21" s="55"/>
      <c r="B21" s="56"/>
      <c r="C21" s="56"/>
      <c r="D21" s="56"/>
      <c r="E21" s="56"/>
      <c r="F21" s="56"/>
      <c r="G21" s="56"/>
      <c r="H21" s="57"/>
      <c r="I21" s="57"/>
      <c r="J21" s="56"/>
      <c r="K21" s="56"/>
      <c r="L21" s="56"/>
      <c r="M21" s="57"/>
      <c r="N21" s="57"/>
      <c r="O21" s="57"/>
    </row>
    <row r="22" spans="1:16">
      <c r="B22" s="58"/>
    </row>
    <row r="23" spans="1:16">
      <c r="D23" s="58"/>
    </row>
    <row r="25" spans="1:16">
      <c r="C25" s="60" t="s">
        <v>70</v>
      </c>
      <c r="D25" s="60"/>
      <c r="E25" s="60" t="s">
        <v>99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</row>
  </sheetData>
  <mergeCells count="1">
    <mergeCell ref="A2:O2"/>
  </mergeCells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Q48"/>
  <sheetViews>
    <sheetView workbookViewId="0">
      <selection sqref="A1:XFD1048576"/>
    </sheetView>
  </sheetViews>
  <sheetFormatPr defaultColWidth="9.140625" defaultRowHeight="12.75"/>
  <cols>
    <col min="1" max="1" width="7.42578125" style="67" customWidth="1"/>
    <col min="2" max="2" width="17.140625" style="67" customWidth="1"/>
    <col min="3" max="3" width="14.85546875" style="67" customWidth="1"/>
    <col min="4" max="4" width="16.7109375" style="67" customWidth="1"/>
    <col min="5" max="5" width="14.140625" style="67" hidden="1" customWidth="1"/>
    <col min="6" max="6" width="12.5703125" style="67" hidden="1" customWidth="1"/>
    <col min="7" max="7" width="12.140625" style="67" hidden="1" customWidth="1"/>
    <col min="8" max="8" width="13.42578125" style="67" hidden="1" customWidth="1"/>
    <col min="9" max="9" width="15.28515625" style="67" customWidth="1"/>
    <col min="10" max="10" width="14.42578125" style="67" customWidth="1"/>
    <col min="11" max="11" width="19.5703125" style="67" customWidth="1"/>
    <col min="12" max="12" width="12.85546875" style="67" customWidth="1"/>
    <col min="13" max="13" width="16" style="67" customWidth="1"/>
    <col min="14" max="14" width="14.28515625" style="67" customWidth="1"/>
    <col min="15" max="15" width="15.140625" style="67" customWidth="1"/>
    <col min="16" max="16" width="14.140625" style="67" customWidth="1"/>
    <col min="17" max="16384" width="9.140625" style="67"/>
  </cols>
  <sheetData>
    <row r="2" spans="1:16">
      <c r="A2" s="40"/>
      <c r="B2" s="235" t="s">
        <v>116</v>
      </c>
      <c r="C2" s="235"/>
      <c r="D2" s="235"/>
      <c r="E2" s="235"/>
      <c r="F2" s="235"/>
      <c r="G2" s="235"/>
      <c r="H2" s="235"/>
      <c r="I2" s="235"/>
      <c r="J2" s="235"/>
      <c r="K2" s="235"/>
    </row>
    <row r="3" spans="1:16">
      <c r="A3" s="40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6">
      <c r="A4" s="40" t="s">
        <v>16</v>
      </c>
      <c r="B4" s="168">
        <v>27049988.77</v>
      </c>
      <c r="C4" s="40"/>
      <c r="D4" s="40"/>
      <c r="E4" s="40"/>
      <c r="F4" s="40"/>
      <c r="G4" s="40"/>
      <c r="H4" s="40"/>
      <c r="I4" s="40"/>
      <c r="J4" s="40"/>
      <c r="K4" s="40"/>
    </row>
    <row r="5" spans="1:16">
      <c r="A5" s="136"/>
      <c r="B5" s="237" t="s">
        <v>17</v>
      </c>
      <c r="C5" s="238"/>
      <c r="D5" s="238"/>
      <c r="E5" s="238"/>
      <c r="F5" s="137"/>
      <c r="G5" s="137"/>
      <c r="H5" s="137"/>
      <c r="I5" s="237" t="s">
        <v>18</v>
      </c>
      <c r="J5" s="238"/>
      <c r="K5" s="238"/>
      <c r="L5" s="238"/>
      <c r="M5" s="238"/>
      <c r="N5" s="238"/>
      <c r="O5" s="238"/>
      <c r="P5" s="238"/>
    </row>
    <row r="6" spans="1:16" ht="51">
      <c r="A6" s="169" t="s">
        <v>19</v>
      </c>
      <c r="B6" s="41" t="s">
        <v>20</v>
      </c>
      <c r="C6" s="138" t="s">
        <v>141</v>
      </c>
      <c r="D6" s="138" t="s">
        <v>142</v>
      </c>
      <c r="E6" s="138" t="s">
        <v>21</v>
      </c>
      <c r="F6" s="138" t="s">
        <v>22</v>
      </c>
      <c r="G6" s="138" t="s">
        <v>37</v>
      </c>
      <c r="H6" s="138" t="s">
        <v>23</v>
      </c>
      <c r="I6" s="41" t="s">
        <v>24</v>
      </c>
      <c r="J6" s="138" t="s">
        <v>25</v>
      </c>
      <c r="K6" s="138" t="s">
        <v>26</v>
      </c>
      <c r="L6" s="138" t="s">
        <v>136</v>
      </c>
      <c r="M6" s="138" t="s">
        <v>58</v>
      </c>
      <c r="N6" s="138" t="s">
        <v>137</v>
      </c>
      <c r="O6" s="138" t="s">
        <v>33</v>
      </c>
      <c r="P6" s="138"/>
    </row>
    <row r="7" spans="1:16">
      <c r="A7" s="139">
        <v>1</v>
      </c>
      <c r="B7" s="143">
        <f>C7+D7+E7+F7+G7+H7</f>
        <v>52629368.100000001</v>
      </c>
      <c r="C7" s="170">
        <v>50000000</v>
      </c>
      <c r="D7" s="46">
        <v>2629368.1</v>
      </c>
      <c r="E7" s="171"/>
      <c r="F7" s="171"/>
      <c r="G7" s="171"/>
      <c r="H7" s="171"/>
      <c r="I7" s="144">
        <f>J7+K7+L7+M7+N7+O7</f>
        <v>20000000</v>
      </c>
      <c r="J7" s="140">
        <v>0</v>
      </c>
      <c r="K7" s="140">
        <v>0</v>
      </c>
      <c r="L7" s="172">
        <v>3580500</v>
      </c>
      <c r="M7" s="37">
        <v>7585900</v>
      </c>
      <c r="N7" s="172">
        <v>3338400</v>
      </c>
      <c r="O7" s="172">
        <v>5495200</v>
      </c>
      <c r="P7" s="172"/>
    </row>
    <row r="8" spans="1:16">
      <c r="A8" s="139">
        <v>2</v>
      </c>
      <c r="B8" s="143">
        <f t="shared" ref="B8:B18" si="0">C8+D8+E8+F8+G8+H8</f>
        <v>40848399.049999997</v>
      </c>
      <c r="C8" s="170">
        <v>40000000</v>
      </c>
      <c r="D8" s="46">
        <v>848399.05</v>
      </c>
      <c r="E8" s="171"/>
      <c r="F8" s="171"/>
      <c r="G8" s="171"/>
      <c r="H8" s="171"/>
      <c r="I8" s="144">
        <f t="shared" ref="I8:I18" si="1">J8+K8+L8+M8+N8+O8</f>
        <v>56277500</v>
      </c>
      <c r="J8" s="140">
        <v>0</v>
      </c>
      <c r="K8" s="140">
        <v>41427500</v>
      </c>
      <c r="L8" s="172">
        <v>14850000</v>
      </c>
      <c r="M8" s="37">
        <v>0</v>
      </c>
      <c r="N8" s="172">
        <v>0</v>
      </c>
      <c r="O8" s="172">
        <v>0</v>
      </c>
      <c r="P8" s="172"/>
    </row>
    <row r="9" spans="1:16">
      <c r="A9" s="139">
        <v>3</v>
      </c>
      <c r="B9" s="143">
        <f t="shared" si="0"/>
        <v>106486550.51000001</v>
      </c>
      <c r="C9" s="170">
        <v>105000000</v>
      </c>
      <c r="D9" s="46">
        <v>1486550.51</v>
      </c>
      <c r="E9" s="171"/>
      <c r="F9" s="171"/>
      <c r="G9" s="171"/>
      <c r="H9" s="171"/>
      <c r="I9" s="144">
        <f t="shared" si="1"/>
        <v>134127600</v>
      </c>
      <c r="J9" s="140">
        <v>9657600</v>
      </c>
      <c r="K9" s="140">
        <v>62184000</v>
      </c>
      <c r="L9" s="172">
        <v>34300000</v>
      </c>
      <c r="M9" s="37">
        <v>15379100</v>
      </c>
      <c r="N9" s="172">
        <v>6911700</v>
      </c>
      <c r="O9" s="172">
        <v>5695200</v>
      </c>
      <c r="P9" s="172"/>
    </row>
    <row r="10" spans="1:16">
      <c r="A10" s="139">
        <v>4</v>
      </c>
      <c r="B10" s="143">
        <f t="shared" si="0"/>
        <v>67327460.620000005</v>
      </c>
      <c r="C10" s="170">
        <v>65000000</v>
      </c>
      <c r="D10" s="46">
        <v>2327460.62</v>
      </c>
      <c r="E10" s="171"/>
      <c r="F10" s="171"/>
      <c r="G10" s="171"/>
      <c r="H10" s="171"/>
      <c r="I10" s="144">
        <f t="shared" si="1"/>
        <v>81500000</v>
      </c>
      <c r="J10" s="140">
        <v>3551600</v>
      </c>
      <c r="K10" s="140">
        <v>32663300</v>
      </c>
      <c r="L10" s="172">
        <v>27971100</v>
      </c>
      <c r="M10" s="37">
        <v>7563200</v>
      </c>
      <c r="N10" s="172">
        <v>3416700</v>
      </c>
      <c r="O10" s="172">
        <v>6334100</v>
      </c>
      <c r="P10" s="172"/>
    </row>
    <row r="11" spans="1:16">
      <c r="A11" s="139">
        <v>5</v>
      </c>
      <c r="B11" s="143">
        <f t="shared" si="0"/>
        <v>38055293.18</v>
      </c>
      <c r="C11" s="170">
        <v>30000000</v>
      </c>
      <c r="D11" s="46">
        <v>8055293.1799999997</v>
      </c>
      <c r="E11" s="171"/>
      <c r="F11" s="171"/>
      <c r="G11" s="171"/>
      <c r="H11" s="171"/>
      <c r="I11" s="144">
        <f t="shared" si="1"/>
        <v>31400000</v>
      </c>
      <c r="J11" s="140">
        <v>2900000</v>
      </c>
      <c r="K11" s="140">
        <v>21000000</v>
      </c>
      <c r="L11" s="172">
        <v>0</v>
      </c>
      <c r="M11" s="37">
        <v>5500000</v>
      </c>
      <c r="N11" s="172">
        <v>0</v>
      </c>
      <c r="O11" s="172">
        <v>2000000</v>
      </c>
      <c r="P11" s="172"/>
    </row>
    <row r="12" spans="1:16">
      <c r="A12" s="139">
        <v>6</v>
      </c>
      <c r="B12" s="143">
        <f t="shared" si="0"/>
        <v>32363988.699999999</v>
      </c>
      <c r="C12" s="170">
        <v>31000000</v>
      </c>
      <c r="D12" s="46">
        <v>1363988.7</v>
      </c>
      <c r="E12" s="171"/>
      <c r="F12" s="171"/>
      <c r="G12" s="171"/>
      <c r="H12" s="171"/>
      <c r="I12" s="144">
        <f t="shared" si="1"/>
        <v>40554500</v>
      </c>
      <c r="J12" s="140">
        <v>3662500</v>
      </c>
      <c r="K12" s="140">
        <v>26292500</v>
      </c>
      <c r="L12" s="172">
        <v>481200</v>
      </c>
      <c r="M12" s="37">
        <v>6577200</v>
      </c>
      <c r="N12" s="172">
        <v>411800</v>
      </c>
      <c r="O12" s="172">
        <v>3129300</v>
      </c>
      <c r="P12" s="172"/>
    </row>
    <row r="13" spans="1:16">
      <c r="A13" s="139">
        <v>7</v>
      </c>
      <c r="B13" s="143">
        <f t="shared" si="0"/>
        <v>30181455.399999999</v>
      </c>
      <c r="C13" s="170">
        <v>30000000</v>
      </c>
      <c r="D13" s="46">
        <v>181455.4</v>
      </c>
      <c r="E13" s="171"/>
      <c r="F13" s="171"/>
      <c r="G13" s="171"/>
      <c r="H13" s="171"/>
      <c r="I13" s="144">
        <f t="shared" si="1"/>
        <v>30740100</v>
      </c>
      <c r="J13" s="140">
        <v>3275800</v>
      </c>
      <c r="K13" s="140">
        <v>21125700</v>
      </c>
      <c r="L13" s="172">
        <v>0</v>
      </c>
      <c r="M13" s="37">
        <v>6338600</v>
      </c>
      <c r="N13" s="172">
        <v>0</v>
      </c>
      <c r="O13" s="172">
        <v>0</v>
      </c>
      <c r="P13" s="172"/>
    </row>
    <row r="14" spans="1:16">
      <c r="A14" s="139">
        <v>8</v>
      </c>
      <c r="B14" s="143">
        <f t="shared" si="0"/>
        <v>29767389.440000001</v>
      </c>
      <c r="C14" s="170">
        <v>25000000</v>
      </c>
      <c r="D14" s="46">
        <v>4767389.4400000004</v>
      </c>
      <c r="E14" s="171"/>
      <c r="F14" s="171"/>
      <c r="G14" s="171"/>
      <c r="H14" s="171"/>
      <c r="I14" s="144">
        <f t="shared" si="1"/>
        <v>29076300</v>
      </c>
      <c r="J14" s="140">
        <v>3275800</v>
      </c>
      <c r="K14" s="140">
        <v>19947000</v>
      </c>
      <c r="L14" s="172">
        <v>0</v>
      </c>
      <c r="M14" s="37">
        <v>5853500</v>
      </c>
      <c r="N14" s="172">
        <v>0</v>
      </c>
      <c r="O14" s="172">
        <v>0</v>
      </c>
      <c r="P14" s="172"/>
    </row>
    <row r="15" spans="1:16">
      <c r="A15" s="139">
        <v>9</v>
      </c>
      <c r="B15" s="143">
        <f t="shared" si="0"/>
        <v>40790372.5</v>
      </c>
      <c r="C15" s="170">
        <v>40000000</v>
      </c>
      <c r="D15" s="46">
        <v>790372.5</v>
      </c>
      <c r="E15" s="171"/>
      <c r="F15" s="171"/>
      <c r="G15" s="171"/>
      <c r="H15" s="171"/>
      <c r="I15" s="144">
        <f t="shared" si="1"/>
        <v>1000000</v>
      </c>
      <c r="J15" s="140">
        <v>0</v>
      </c>
      <c r="K15" s="140">
        <v>1000000</v>
      </c>
      <c r="L15" s="172">
        <v>0</v>
      </c>
      <c r="M15" s="37">
        <v>0</v>
      </c>
      <c r="N15" s="172">
        <v>0</v>
      </c>
      <c r="O15" s="172">
        <v>0</v>
      </c>
      <c r="P15" s="172"/>
    </row>
    <row r="16" spans="1:16">
      <c r="A16" s="139">
        <v>10</v>
      </c>
      <c r="B16" s="143">
        <f t="shared" si="0"/>
        <v>78570313.739999995</v>
      </c>
      <c r="C16" s="170">
        <v>50000000</v>
      </c>
      <c r="D16" s="46">
        <v>28570313.739999998</v>
      </c>
      <c r="E16" s="171"/>
      <c r="F16" s="171"/>
      <c r="G16" s="171"/>
      <c r="H16" s="171"/>
      <c r="I16" s="144">
        <f t="shared" si="1"/>
        <v>118553800</v>
      </c>
      <c r="J16" s="140">
        <v>6680700</v>
      </c>
      <c r="K16" s="140">
        <v>64273900</v>
      </c>
      <c r="L16" s="172">
        <v>957500</v>
      </c>
      <c r="M16" s="37">
        <v>30651800</v>
      </c>
      <c r="N16" s="172">
        <v>4034400</v>
      </c>
      <c r="O16" s="172">
        <v>11955500</v>
      </c>
      <c r="P16" s="172"/>
    </row>
    <row r="17" spans="1:17">
      <c r="A17" s="139">
        <v>11</v>
      </c>
      <c r="B17" s="143">
        <f t="shared" si="0"/>
        <v>72735995.140000001</v>
      </c>
      <c r="C17" s="170">
        <v>70000000</v>
      </c>
      <c r="D17" s="46">
        <v>2735995.14</v>
      </c>
      <c r="E17" s="171"/>
      <c r="F17" s="171"/>
      <c r="G17" s="171"/>
      <c r="H17" s="171"/>
      <c r="I17" s="144">
        <f t="shared" si="1"/>
        <v>70000000</v>
      </c>
      <c r="J17" s="140">
        <v>3275800</v>
      </c>
      <c r="K17" s="140">
        <v>27244100</v>
      </c>
      <c r="L17" s="172">
        <v>31666900</v>
      </c>
      <c r="M17" s="37">
        <v>7813200</v>
      </c>
      <c r="N17" s="172">
        <v>0</v>
      </c>
      <c r="O17" s="172">
        <v>0</v>
      </c>
      <c r="P17" s="172"/>
    </row>
    <row r="18" spans="1:17">
      <c r="A18" s="139">
        <v>12</v>
      </c>
      <c r="B18" s="143">
        <f t="shared" si="0"/>
        <v>114416485.61</v>
      </c>
      <c r="C18" s="170">
        <v>107757700</v>
      </c>
      <c r="D18" s="46">
        <v>6658785.6100000003</v>
      </c>
      <c r="E18" s="141"/>
      <c r="F18" s="171"/>
      <c r="G18" s="171"/>
      <c r="H18" s="173"/>
      <c r="I18" s="144">
        <f t="shared" si="1"/>
        <v>92188100</v>
      </c>
      <c r="J18" s="140">
        <v>6965200</v>
      </c>
      <c r="K18" s="140">
        <v>28081000</v>
      </c>
      <c r="L18" s="172">
        <v>29372800</v>
      </c>
      <c r="M18" s="37">
        <v>9585600</v>
      </c>
      <c r="N18" s="172">
        <v>6833100</v>
      </c>
      <c r="O18" s="172">
        <v>11350400</v>
      </c>
      <c r="P18" s="172"/>
    </row>
    <row r="19" spans="1:17">
      <c r="A19" s="139"/>
      <c r="B19" s="143"/>
      <c r="C19" s="174"/>
      <c r="D19" s="175"/>
      <c r="E19" s="174"/>
      <c r="F19" s="174"/>
      <c r="G19" s="174"/>
      <c r="H19" s="140"/>
      <c r="I19" s="144"/>
      <c r="J19" s="140"/>
      <c r="K19" s="140"/>
      <c r="L19" s="176"/>
      <c r="M19" s="176"/>
      <c r="N19" s="176"/>
      <c r="O19" s="172"/>
      <c r="P19" s="172"/>
    </row>
    <row r="20" spans="1:17">
      <c r="A20" s="142" t="s">
        <v>27</v>
      </c>
      <c r="B20" s="145">
        <f>C20+D20+E20+F20+G20+H20</f>
        <v>704173071.99000001</v>
      </c>
      <c r="C20" s="177">
        <f t="shared" ref="C20:H20" si="2">SUM(C7:C19)</f>
        <v>643757700</v>
      </c>
      <c r="D20" s="177">
        <f t="shared" si="2"/>
        <v>60415371.989999995</v>
      </c>
      <c r="E20" s="177">
        <f t="shared" si="2"/>
        <v>0</v>
      </c>
      <c r="F20" s="177">
        <f t="shared" si="2"/>
        <v>0</v>
      </c>
      <c r="G20" s="177">
        <f t="shared" si="2"/>
        <v>0</v>
      </c>
      <c r="H20" s="177">
        <f t="shared" si="2"/>
        <v>0</v>
      </c>
      <c r="I20" s="145">
        <f>J20+K20+L20+N20+O20+M20</f>
        <v>705417900</v>
      </c>
      <c r="J20" s="178">
        <f>SUM(J7:J19)</f>
        <v>43245000</v>
      </c>
      <c r="K20" s="179">
        <f>SUM(K7:K19)</f>
        <v>345239000</v>
      </c>
      <c r="L20" s="179">
        <f t="shared" ref="L20:O20" si="3">SUM(L7:L19)</f>
        <v>143180000</v>
      </c>
      <c r="M20" s="179">
        <f t="shared" si="3"/>
        <v>102848100</v>
      </c>
      <c r="N20" s="179">
        <f t="shared" si="3"/>
        <v>24946100</v>
      </c>
      <c r="O20" s="179">
        <f t="shared" si="3"/>
        <v>45959700</v>
      </c>
      <c r="P20" s="180"/>
    </row>
    <row r="21" spans="1:17">
      <c r="A21" s="139" t="s">
        <v>28</v>
      </c>
      <c r="B21" s="143"/>
      <c r="C21" s="144"/>
      <c r="D21" s="143"/>
      <c r="E21" s="144"/>
      <c r="F21" s="144"/>
      <c r="G21" s="144"/>
      <c r="H21" s="144"/>
      <c r="I21" s="145">
        <f>J21</f>
        <v>0</v>
      </c>
      <c r="J21" s="143"/>
      <c r="K21" s="144"/>
      <c r="L21" s="146"/>
      <c r="M21" s="146"/>
      <c r="N21" s="146"/>
      <c r="O21" s="146"/>
      <c r="P21" s="146"/>
    </row>
    <row r="22" spans="1:17">
      <c r="A22" s="142" t="s">
        <v>29</v>
      </c>
      <c r="B22" s="50">
        <f>B20+B21</f>
        <v>704173071.99000001</v>
      </c>
      <c r="C22" s="145"/>
      <c r="D22" s="50"/>
      <c r="E22" s="145"/>
      <c r="F22" s="145"/>
      <c r="G22" s="145"/>
      <c r="H22" s="145"/>
      <c r="I22" s="145">
        <f>I20+I21</f>
        <v>705417900</v>
      </c>
      <c r="J22" s="145"/>
      <c r="K22" s="145"/>
      <c r="L22" s="147"/>
      <c r="M22" s="147"/>
      <c r="N22" s="147"/>
      <c r="O22" s="147"/>
      <c r="P22" s="147"/>
    </row>
    <row r="23" spans="1:17">
      <c r="A23" s="139" t="s">
        <v>30</v>
      </c>
      <c r="B23" s="148">
        <f>B4+B22-I22</f>
        <v>25805160.75999999</v>
      </c>
      <c r="C23" s="149"/>
      <c r="D23" s="150"/>
      <c r="E23" s="140"/>
      <c r="F23" s="140"/>
      <c r="G23" s="140"/>
      <c r="H23" s="140"/>
      <c r="I23" s="144"/>
      <c r="J23" s="140"/>
      <c r="K23" s="150"/>
      <c r="L23" s="36"/>
      <c r="M23" s="36"/>
      <c r="N23" s="36"/>
      <c r="O23" s="36"/>
      <c r="P23" s="36"/>
    </row>
    <row r="24" spans="1:17">
      <c r="A24" s="139" t="s">
        <v>31</v>
      </c>
      <c r="B24" s="151"/>
      <c r="C24" s="151"/>
      <c r="D24" s="151"/>
      <c r="E24" s="152"/>
      <c r="F24" s="152"/>
      <c r="G24" s="152"/>
      <c r="H24" s="152"/>
      <c r="I24" s="153"/>
      <c r="J24" s="153"/>
      <c r="K24" s="153"/>
      <c r="L24" s="154"/>
      <c r="M24" s="154"/>
      <c r="N24" s="154"/>
      <c r="O24" s="154"/>
      <c r="P24" s="154"/>
    </row>
    <row r="25" spans="1:17">
      <c r="A25" s="136"/>
      <c r="B25" s="143"/>
      <c r="C25" s="155"/>
      <c r="D25" s="156"/>
      <c r="E25" s="157">
        <f>E20-E24</f>
        <v>0</v>
      </c>
      <c r="F25" s="157"/>
      <c r="G25" s="157"/>
      <c r="H25" s="157"/>
      <c r="I25" s="158"/>
      <c r="J25" s="150"/>
      <c r="K25" s="181"/>
      <c r="L25" s="182"/>
      <c r="M25" s="182"/>
      <c r="N25" s="182"/>
      <c r="O25" s="182"/>
      <c r="P25" s="182"/>
    </row>
    <row r="26" spans="1:17">
      <c r="A26" s="159"/>
      <c r="B26" s="239"/>
      <c r="C26" s="239"/>
      <c r="D26" s="239"/>
      <c r="E26" s="239"/>
      <c r="F26" s="160"/>
      <c r="G26" s="160"/>
      <c r="H26" s="160"/>
      <c r="I26" s="161"/>
      <c r="J26" s="162"/>
      <c r="K26" s="184"/>
      <c r="L26" s="185"/>
      <c r="M26" s="185"/>
      <c r="N26" s="185"/>
      <c r="O26" s="185"/>
      <c r="P26" s="185"/>
      <c r="Q26" s="185"/>
    </row>
    <row r="27" spans="1:17">
      <c r="A27" s="40"/>
      <c r="B27" s="236"/>
      <c r="C27" s="236"/>
      <c r="E27" s="165"/>
      <c r="F27" s="163"/>
      <c r="G27" s="163"/>
      <c r="H27" s="163"/>
      <c r="I27" s="164"/>
      <c r="J27" s="164"/>
      <c r="K27" s="186"/>
      <c r="L27" s="187"/>
      <c r="M27" s="188"/>
      <c r="N27" s="189"/>
      <c r="O27" s="186"/>
      <c r="P27" s="186"/>
      <c r="Q27" s="185"/>
    </row>
    <row r="28" spans="1:17">
      <c r="A28" s="40"/>
      <c r="B28" s="236"/>
      <c r="C28" s="236"/>
      <c r="E28" s="165"/>
      <c r="F28" s="163"/>
      <c r="G28" s="163"/>
      <c r="H28" s="163"/>
      <c r="I28" s="164"/>
      <c r="J28" s="164"/>
      <c r="K28" s="190"/>
      <c r="L28" s="187"/>
      <c r="M28" s="187"/>
      <c r="N28" s="191"/>
      <c r="O28" s="186"/>
      <c r="P28" s="186"/>
      <c r="Q28" s="185"/>
    </row>
    <row r="29" spans="1:17">
      <c r="A29" s="40"/>
      <c r="B29" s="40"/>
      <c r="C29" s="67" t="s">
        <v>27</v>
      </c>
      <c r="E29" s="165">
        <f>SUM(E27:E28)</f>
        <v>0</v>
      </c>
      <c r="F29" s="163"/>
      <c r="G29" s="163"/>
      <c r="H29" s="163"/>
      <c r="I29" s="164"/>
      <c r="J29" s="164"/>
      <c r="K29" s="190"/>
      <c r="L29" s="187"/>
      <c r="M29" s="187"/>
      <c r="N29" s="187"/>
      <c r="O29" s="187"/>
      <c r="P29" s="187"/>
      <c r="Q29" s="185"/>
    </row>
    <row r="30" spans="1:17">
      <c r="A30" s="40"/>
      <c r="B30" s="40"/>
      <c r="E30" s="165"/>
      <c r="F30" s="163"/>
      <c r="G30" s="163"/>
      <c r="H30" s="163"/>
      <c r="I30" s="164"/>
      <c r="J30" s="164"/>
      <c r="K30" s="192"/>
      <c r="L30" s="193"/>
      <c r="M30" s="185"/>
      <c r="N30" s="188"/>
      <c r="O30" s="189"/>
      <c r="P30" s="188"/>
      <c r="Q30" s="185"/>
    </row>
    <row r="31" spans="1:17">
      <c r="A31" s="40"/>
      <c r="B31" s="40"/>
      <c r="E31" s="163"/>
      <c r="F31" s="163"/>
      <c r="G31" s="163"/>
      <c r="H31" s="163"/>
      <c r="I31" s="164"/>
      <c r="J31" s="164"/>
      <c r="K31" s="192"/>
      <c r="L31" s="183"/>
      <c r="M31" s="188"/>
      <c r="N31" s="189"/>
      <c r="O31" s="189"/>
      <c r="P31" s="188"/>
      <c r="Q31" s="185"/>
    </row>
    <row r="32" spans="1:17">
      <c r="A32" s="40"/>
      <c r="B32" s="40"/>
      <c r="E32" s="163"/>
      <c r="F32" s="163"/>
      <c r="G32" s="163"/>
      <c r="H32" s="163"/>
      <c r="I32" s="164"/>
      <c r="J32" s="164"/>
      <c r="K32" s="192"/>
      <c r="L32" s="188"/>
      <c r="M32" s="188"/>
      <c r="N32" s="189"/>
      <c r="O32" s="189"/>
      <c r="P32" s="188"/>
      <c r="Q32" s="185"/>
    </row>
    <row r="33" spans="1:17">
      <c r="A33" s="40"/>
      <c r="B33" s="40"/>
      <c r="C33" s="40"/>
      <c r="D33" s="40"/>
      <c r="E33" s="166"/>
      <c r="F33" s="167"/>
      <c r="G33" s="167"/>
      <c r="H33" s="167"/>
      <c r="I33" s="40"/>
      <c r="J33" s="40"/>
      <c r="K33" s="194"/>
      <c r="L33" s="195"/>
      <c r="M33" s="195"/>
      <c r="N33" s="195"/>
      <c r="O33" s="195"/>
      <c r="P33" s="195"/>
      <c r="Q33" s="185"/>
    </row>
    <row r="34" spans="1:17">
      <c r="A34" s="159"/>
      <c r="B34" s="40" t="s">
        <v>138</v>
      </c>
      <c r="C34" s="40"/>
      <c r="D34" s="40"/>
      <c r="F34" s="159"/>
      <c r="G34" s="159"/>
      <c r="H34" s="159"/>
      <c r="I34" s="40"/>
      <c r="J34" s="40"/>
      <c r="K34" s="190"/>
      <c r="L34" s="193"/>
      <c r="M34" s="185"/>
      <c r="N34" s="185"/>
      <c r="O34" s="185"/>
      <c r="P34" s="185"/>
      <c r="Q34" s="185"/>
    </row>
    <row r="35" spans="1:17">
      <c r="A35" s="159"/>
      <c r="B35" s="40"/>
      <c r="C35" s="40"/>
      <c r="D35" s="40"/>
      <c r="E35" s="159"/>
      <c r="F35" s="159"/>
      <c r="G35" s="159"/>
      <c r="H35" s="159"/>
      <c r="I35" s="40"/>
      <c r="J35" s="40"/>
      <c r="K35" s="190"/>
      <c r="L35" s="196"/>
      <c r="M35" s="185"/>
      <c r="N35" s="185"/>
      <c r="O35" s="185"/>
      <c r="P35" s="185"/>
      <c r="Q35" s="185"/>
    </row>
    <row r="36" spans="1:17">
      <c r="A36" s="159"/>
      <c r="B36" s="40"/>
      <c r="C36" s="40"/>
      <c r="D36" s="40"/>
      <c r="E36" s="159"/>
      <c r="F36" s="159"/>
      <c r="G36" s="159"/>
      <c r="H36" s="159"/>
      <c r="I36" s="40"/>
      <c r="J36" s="40"/>
      <c r="K36" s="190"/>
      <c r="L36" s="185"/>
      <c r="M36" s="185"/>
      <c r="N36" s="185"/>
      <c r="O36" s="185"/>
      <c r="P36" s="185"/>
      <c r="Q36" s="185"/>
    </row>
    <row r="37" spans="1:17">
      <c r="A37" s="40"/>
      <c r="C37" s="40"/>
      <c r="D37" s="40"/>
      <c r="E37" s="40"/>
      <c r="F37" s="40"/>
      <c r="G37" s="40"/>
      <c r="H37" s="40"/>
      <c r="I37" s="40"/>
      <c r="J37" s="40"/>
      <c r="K37" s="190"/>
      <c r="L37" s="190"/>
      <c r="M37" s="197"/>
      <c r="N37" s="197"/>
      <c r="O37" s="197"/>
      <c r="P37" s="197"/>
      <c r="Q37" s="185"/>
    </row>
    <row r="38" spans="1:17">
      <c r="K38" s="185"/>
      <c r="L38" s="185"/>
      <c r="M38" s="185"/>
      <c r="N38" s="185"/>
      <c r="O38" s="185"/>
      <c r="P38" s="185"/>
      <c r="Q38" s="185"/>
    </row>
    <row r="43" spans="1:17">
      <c r="A43" s="67">
        <v>1</v>
      </c>
      <c r="B43" s="40" t="s">
        <v>32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7">
      <c r="A44" s="67">
        <v>2</v>
      </c>
      <c r="B44" s="40" t="s">
        <v>26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7">
      <c r="A45" s="67">
        <v>3</v>
      </c>
      <c r="B45" s="40" t="s">
        <v>139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ht="21" customHeight="1">
      <c r="A46" s="67">
        <v>4</v>
      </c>
      <c r="B46" s="40" t="s">
        <v>136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7">
      <c r="A47" s="67">
        <v>5</v>
      </c>
      <c r="B47" s="40" t="s">
        <v>33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7">
      <c r="A48" s="67">
        <v>6</v>
      </c>
      <c r="B48" s="40" t="s">
        <v>140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</sheetData>
  <mergeCells count="6">
    <mergeCell ref="B27:C27"/>
    <mergeCell ref="B28:C28"/>
    <mergeCell ref="B5:E5"/>
    <mergeCell ref="B26:E26"/>
    <mergeCell ref="B2:K2"/>
    <mergeCell ref="I5:P5"/>
  </mergeCells>
  <pageMargins left="0.9" right="0.26" top="0.75" bottom="0.34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24"/>
  <sheetViews>
    <sheetView workbookViewId="0">
      <selection sqref="A1:XFD1048576"/>
    </sheetView>
  </sheetViews>
  <sheetFormatPr defaultColWidth="9.140625" defaultRowHeight="12.75"/>
  <cols>
    <col min="1" max="1" width="4.5703125" style="85" customWidth="1"/>
    <col min="2" max="2" width="10.5703125" style="85" customWidth="1"/>
    <col min="3" max="3" width="14.7109375" style="67" customWidth="1"/>
    <col min="4" max="9" width="13.85546875" style="67" customWidth="1"/>
    <col min="10" max="10" width="12.5703125" style="67" customWidth="1"/>
    <col min="11" max="16384" width="9.140625" style="67"/>
  </cols>
  <sheetData>
    <row r="2" spans="1:11" ht="15" customHeight="1">
      <c r="B2" s="242" t="s">
        <v>135</v>
      </c>
      <c r="C2" s="242"/>
      <c r="D2" s="242"/>
      <c r="E2" s="242"/>
      <c r="F2" s="242"/>
      <c r="G2" s="242"/>
      <c r="H2" s="242"/>
      <c r="I2" s="242"/>
    </row>
    <row r="4" spans="1:11" ht="15" customHeight="1">
      <c r="A4" s="233" t="s">
        <v>35</v>
      </c>
      <c r="B4" s="233" t="s">
        <v>36</v>
      </c>
      <c r="C4" s="243" t="s">
        <v>20</v>
      </c>
      <c r="D4" s="244" t="s">
        <v>32</v>
      </c>
      <c r="E4" s="245" t="s">
        <v>100</v>
      </c>
      <c r="F4" s="244" t="s">
        <v>101</v>
      </c>
      <c r="G4" s="245" t="s">
        <v>33</v>
      </c>
      <c r="H4" s="245" t="s">
        <v>58</v>
      </c>
      <c r="I4" s="244" t="s">
        <v>57</v>
      </c>
    </row>
    <row r="5" spans="1:11">
      <c r="A5" s="233"/>
      <c r="B5" s="233"/>
      <c r="C5" s="243"/>
      <c r="D5" s="244"/>
      <c r="E5" s="246"/>
      <c r="F5" s="244"/>
      <c r="G5" s="246"/>
      <c r="H5" s="246"/>
      <c r="I5" s="244"/>
    </row>
    <row r="6" spans="1:11">
      <c r="A6" s="233"/>
      <c r="B6" s="233"/>
      <c r="C6" s="243"/>
      <c r="D6" s="244"/>
      <c r="E6" s="247"/>
      <c r="F6" s="244"/>
      <c r="G6" s="247"/>
      <c r="H6" s="247"/>
      <c r="I6" s="244"/>
    </row>
    <row r="7" spans="1:11">
      <c r="A7" s="81">
        <v>1</v>
      </c>
      <c r="B7" s="81" t="s">
        <v>102</v>
      </c>
      <c r="C7" s="78">
        <f t="shared" ref="C7:C18" si="0">SUM(D7:I7)</f>
        <v>5372907</v>
      </c>
      <c r="D7" s="37">
        <v>0</v>
      </c>
      <c r="E7" s="37">
        <v>0</v>
      </c>
      <c r="F7" s="37">
        <v>4810033</v>
      </c>
      <c r="G7" s="37">
        <v>562874</v>
      </c>
      <c r="H7" s="37">
        <v>0</v>
      </c>
      <c r="I7" s="37">
        <v>0</v>
      </c>
    </row>
    <row r="8" spans="1:11">
      <c r="A8" s="81">
        <v>2</v>
      </c>
      <c r="B8" s="81" t="s">
        <v>103</v>
      </c>
      <c r="C8" s="78">
        <f t="shared" si="0"/>
        <v>10447080</v>
      </c>
      <c r="D8" s="37">
        <v>202645</v>
      </c>
      <c r="E8" s="37">
        <v>1082290</v>
      </c>
      <c r="F8" s="37">
        <v>4842033</v>
      </c>
      <c r="G8" s="37">
        <v>562874</v>
      </c>
      <c r="H8" s="37">
        <v>742689</v>
      </c>
      <c r="I8" s="37">
        <v>3014549</v>
      </c>
    </row>
    <row r="9" spans="1:11">
      <c r="A9" s="81">
        <v>3</v>
      </c>
      <c r="B9" s="81" t="s">
        <v>104</v>
      </c>
      <c r="C9" s="78">
        <f t="shared" si="0"/>
        <v>10514766</v>
      </c>
      <c r="D9" s="37">
        <v>148072</v>
      </c>
      <c r="E9" s="37">
        <v>1991100</v>
      </c>
      <c r="F9" s="37">
        <v>4841883</v>
      </c>
      <c r="G9" s="37">
        <v>1588397</v>
      </c>
      <c r="H9" s="37">
        <v>364286</v>
      </c>
      <c r="I9" s="37">
        <v>1581028</v>
      </c>
    </row>
    <row r="10" spans="1:11">
      <c r="A10" s="81">
        <v>4</v>
      </c>
      <c r="B10" s="81" t="s">
        <v>105</v>
      </c>
      <c r="C10" s="78">
        <f t="shared" si="0"/>
        <v>9054855</v>
      </c>
      <c r="D10" s="37">
        <v>228574</v>
      </c>
      <c r="E10" s="37">
        <v>1212581</v>
      </c>
      <c r="F10" s="37">
        <v>3989510</v>
      </c>
      <c r="G10" s="37">
        <v>1957694</v>
      </c>
      <c r="H10" s="37">
        <v>322586</v>
      </c>
      <c r="I10" s="37">
        <v>1343910</v>
      </c>
      <c r="J10" s="100"/>
    </row>
    <row r="11" spans="1:11">
      <c r="A11" s="81">
        <v>5</v>
      </c>
      <c r="B11" s="81" t="s">
        <v>106</v>
      </c>
      <c r="C11" s="78">
        <f t="shared" si="0"/>
        <v>8727970</v>
      </c>
      <c r="D11" s="37"/>
      <c r="E11" s="37"/>
      <c r="F11" s="37">
        <v>4734288</v>
      </c>
      <c r="G11" s="37">
        <v>1220779</v>
      </c>
      <c r="H11" s="37">
        <v>558103</v>
      </c>
      <c r="I11" s="37">
        <v>2214800</v>
      </c>
      <c r="J11" s="100"/>
    </row>
    <row r="12" spans="1:11">
      <c r="A12" s="81">
        <v>6</v>
      </c>
      <c r="B12" s="81" t="s">
        <v>107</v>
      </c>
      <c r="C12" s="78">
        <f t="shared" si="0"/>
        <v>21510509</v>
      </c>
      <c r="D12" s="37">
        <v>316925</v>
      </c>
      <c r="E12" s="37">
        <v>2889656</v>
      </c>
      <c r="F12" s="37">
        <v>13375883</v>
      </c>
      <c r="G12" s="37">
        <v>2713597</v>
      </c>
      <c r="H12" s="37">
        <v>348497</v>
      </c>
      <c r="I12" s="37">
        <v>1865951</v>
      </c>
      <c r="J12" s="79"/>
    </row>
    <row r="13" spans="1:11">
      <c r="A13" s="81">
        <v>7</v>
      </c>
      <c r="B13" s="81" t="s">
        <v>108</v>
      </c>
      <c r="C13" s="78">
        <f t="shared" si="0"/>
        <v>2092898</v>
      </c>
      <c r="D13" s="37">
        <v>0</v>
      </c>
      <c r="E13" s="37">
        <v>1624500</v>
      </c>
      <c r="F13" s="37"/>
      <c r="G13" s="37">
        <v>114455</v>
      </c>
      <c r="H13" s="37">
        <v>353943</v>
      </c>
      <c r="I13" s="37">
        <v>0</v>
      </c>
      <c r="J13" s="100"/>
    </row>
    <row r="14" spans="1:11">
      <c r="A14" s="81">
        <v>8</v>
      </c>
      <c r="B14" s="81" t="s">
        <v>109</v>
      </c>
      <c r="C14" s="78">
        <f t="shared" si="0"/>
        <v>1432646</v>
      </c>
      <c r="D14" s="37">
        <v>0</v>
      </c>
      <c r="E14" s="37">
        <v>0</v>
      </c>
      <c r="F14" s="37"/>
      <c r="G14" s="37">
        <v>582966</v>
      </c>
      <c r="H14" s="37"/>
      <c r="I14" s="37">
        <v>849680</v>
      </c>
    </row>
    <row r="15" spans="1:11">
      <c r="A15" s="81">
        <v>9</v>
      </c>
      <c r="B15" s="81" t="s">
        <v>110</v>
      </c>
      <c r="C15" s="78">
        <f t="shared" si="0"/>
        <v>19232185</v>
      </c>
      <c r="D15" s="37">
        <v>307227</v>
      </c>
      <c r="E15" s="37">
        <v>2956349</v>
      </c>
      <c r="F15" s="37">
        <v>8976721</v>
      </c>
      <c r="G15" s="37">
        <v>2460774</v>
      </c>
      <c r="H15" s="37">
        <v>707886</v>
      </c>
      <c r="I15" s="37">
        <v>3823228</v>
      </c>
    </row>
    <row r="16" spans="1:11">
      <c r="A16" s="81">
        <v>10</v>
      </c>
      <c r="B16" s="81" t="s">
        <v>111</v>
      </c>
      <c r="C16" s="78">
        <f t="shared" si="0"/>
        <v>14548573</v>
      </c>
      <c r="D16" s="37">
        <v>167217</v>
      </c>
      <c r="E16" s="37">
        <v>3815879</v>
      </c>
      <c r="F16" s="37">
        <v>5937077</v>
      </c>
      <c r="G16" s="37">
        <v>603700</v>
      </c>
      <c r="H16" s="37">
        <v>2095625</v>
      </c>
      <c r="I16" s="37">
        <v>1929075</v>
      </c>
      <c r="J16" s="100"/>
      <c r="K16" s="79"/>
    </row>
    <row r="17" spans="1:10">
      <c r="A17" s="81">
        <v>11</v>
      </c>
      <c r="B17" s="81" t="s">
        <v>112</v>
      </c>
      <c r="C17" s="78">
        <f t="shared" si="0"/>
        <v>9404370</v>
      </c>
      <c r="D17" s="37"/>
      <c r="E17" s="37">
        <v>1624500</v>
      </c>
      <c r="F17" s="37">
        <v>5047286</v>
      </c>
      <c r="G17" s="37">
        <v>1161117</v>
      </c>
      <c r="H17" s="37">
        <v>0</v>
      </c>
      <c r="I17" s="37">
        <v>1571467</v>
      </c>
    </row>
    <row r="18" spans="1:10">
      <c r="A18" s="81">
        <v>12</v>
      </c>
      <c r="B18" s="81" t="s">
        <v>113</v>
      </c>
      <c r="C18" s="78">
        <f t="shared" si="0"/>
        <v>17383582</v>
      </c>
      <c r="D18" s="37">
        <v>372566</v>
      </c>
      <c r="E18" s="37">
        <v>3249957</v>
      </c>
      <c r="F18" s="37">
        <v>7003071</v>
      </c>
      <c r="G18" s="37">
        <v>2157279</v>
      </c>
      <c r="H18" s="37">
        <v>442886</v>
      </c>
      <c r="I18" s="37">
        <v>4157823</v>
      </c>
    </row>
    <row r="19" spans="1:10">
      <c r="A19" s="82"/>
      <c r="B19" s="82" t="s">
        <v>68</v>
      </c>
      <c r="C19" s="39">
        <f>SUM(C7:C18)</f>
        <v>129722341</v>
      </c>
      <c r="D19" s="39">
        <f t="shared" ref="D19:I19" si="1">SUM(D7:D18)</f>
        <v>1743226</v>
      </c>
      <c r="E19" s="39">
        <f t="shared" si="1"/>
        <v>20446812</v>
      </c>
      <c r="F19" s="39">
        <f t="shared" si="1"/>
        <v>63557785</v>
      </c>
      <c r="G19" s="39">
        <f t="shared" si="1"/>
        <v>15686506</v>
      </c>
      <c r="H19" s="39">
        <f t="shared" si="1"/>
        <v>5936501</v>
      </c>
      <c r="I19" s="80">
        <f t="shared" si="1"/>
        <v>22351511</v>
      </c>
    </row>
    <row r="20" spans="1:10" ht="32.25" customHeight="1">
      <c r="B20" s="240"/>
      <c r="C20" s="240"/>
      <c r="D20" s="240"/>
      <c r="E20" s="240"/>
      <c r="F20" s="240"/>
      <c r="G20" s="240"/>
      <c r="H20" s="240"/>
      <c r="I20" s="240"/>
      <c r="J20" s="241"/>
    </row>
    <row r="21" spans="1:10">
      <c r="J21" s="79"/>
    </row>
    <row r="22" spans="1:10">
      <c r="D22" s="230"/>
      <c r="E22" s="230"/>
      <c r="F22" s="230"/>
      <c r="G22" s="230"/>
      <c r="J22" s="79"/>
    </row>
    <row r="24" spans="1:10">
      <c r="D24" s="230"/>
      <c r="E24" s="230"/>
      <c r="F24" s="230"/>
    </row>
  </sheetData>
  <mergeCells count="13">
    <mergeCell ref="D24:F24"/>
    <mergeCell ref="B20:J20"/>
    <mergeCell ref="D22:G22"/>
    <mergeCell ref="B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G18"/>
  <sheetViews>
    <sheetView workbookViewId="0">
      <selection activeCell="F10" sqref="F10"/>
    </sheetView>
  </sheetViews>
  <sheetFormatPr defaultRowHeight="15"/>
  <cols>
    <col min="2" max="2" width="20.5703125" customWidth="1"/>
    <col min="3" max="5" width="15.28515625" customWidth="1"/>
    <col min="6" max="6" width="12.85546875" customWidth="1"/>
  </cols>
  <sheetData>
    <row r="7" spans="2:7" ht="15.75" thickBot="1">
      <c r="B7" s="214" t="s">
        <v>121</v>
      </c>
      <c r="C7" s="214"/>
      <c r="D7" s="214"/>
      <c r="E7" s="214"/>
    </row>
    <row r="8" spans="2:7" ht="26.25" thickBot="1">
      <c r="B8" s="101" t="s">
        <v>36</v>
      </c>
      <c r="C8" s="102" t="s">
        <v>3</v>
      </c>
      <c r="D8" s="102" t="s">
        <v>4</v>
      </c>
      <c r="E8" s="103" t="s">
        <v>122</v>
      </c>
      <c r="F8" s="103" t="s">
        <v>123</v>
      </c>
    </row>
    <row r="9" spans="2:7">
      <c r="B9" s="104" t="s">
        <v>124</v>
      </c>
      <c r="C9" s="108">
        <v>19.5</v>
      </c>
      <c r="D9" s="108">
        <v>28.5</v>
      </c>
      <c r="E9" s="107">
        <f>+D9-C9</f>
        <v>9</v>
      </c>
      <c r="F9" s="109">
        <v>146.15384615384599</v>
      </c>
      <c r="G9" s="111"/>
    </row>
    <row r="10" spans="2:7">
      <c r="B10" s="105" t="s">
        <v>125</v>
      </c>
      <c r="C10" s="108">
        <v>12.9</v>
      </c>
      <c r="D10" s="108">
        <v>3.7</v>
      </c>
      <c r="E10" s="107">
        <f t="shared" ref="E10:E12" si="0">+D10-C10</f>
        <v>-9.1999999999999993</v>
      </c>
      <c r="F10" s="109">
        <v>-28.682170542635699</v>
      </c>
      <c r="G10" s="111"/>
    </row>
    <row r="11" spans="2:7">
      <c r="B11" s="105" t="s">
        <v>126</v>
      </c>
      <c r="C11" s="108">
        <v>1.3</v>
      </c>
      <c r="D11" s="108">
        <v>2.6</v>
      </c>
      <c r="E11" s="107">
        <f t="shared" si="0"/>
        <v>1.3</v>
      </c>
      <c r="F11" s="108">
        <v>200</v>
      </c>
      <c r="G11" s="111"/>
    </row>
    <row r="12" spans="2:7" ht="15.75" thickBot="1">
      <c r="B12" s="105" t="s">
        <v>127</v>
      </c>
      <c r="C12" s="108">
        <v>0.1</v>
      </c>
      <c r="D12" s="108">
        <v>0.05</v>
      </c>
      <c r="E12" s="107">
        <f t="shared" si="0"/>
        <v>-0.05</v>
      </c>
      <c r="F12" s="108">
        <v>-50</v>
      </c>
      <c r="G12" s="111"/>
    </row>
    <row r="13" spans="2:7" ht="15.75" thickBot="1">
      <c r="B13" s="106" t="s">
        <v>68</v>
      </c>
      <c r="C13" s="110">
        <f>+C9+C10+C11+C12</f>
        <v>33.799999999999997</v>
      </c>
      <c r="D13" s="110">
        <f t="shared" ref="D13:E13" si="1">+D9+D10+D11+D12</f>
        <v>34.85</v>
      </c>
      <c r="E13" s="110">
        <f t="shared" si="1"/>
        <v>1.0500000000000007</v>
      </c>
      <c r="F13" s="110">
        <f>+D13/C13*100</f>
        <v>103.10650887573966</v>
      </c>
    </row>
    <row r="15" spans="2:7">
      <c r="F15" s="111"/>
    </row>
    <row r="17" spans="6:6">
      <c r="F17" s="111"/>
    </row>
    <row r="18" spans="6:6">
      <c r="F18" s="111"/>
    </row>
  </sheetData>
  <mergeCells count="1">
    <mergeCell ref="B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848B-BA66-47EC-835E-C03E648AFBDD}">
  <dimension ref="A1"/>
  <sheetViews>
    <sheetView workbookViewId="0">
      <selection activeCell="F35" sqref="F3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ОНТО-1</vt:lpstr>
      <vt:lpstr>ОНТО-2</vt:lpstr>
      <vt:lpstr>ОНТЗ-1</vt:lpstr>
      <vt:lpstr>ОНТЗ-2</vt:lpstr>
      <vt:lpstr>995</vt:lpstr>
      <vt:lpstr>910</vt:lpstr>
      <vt:lpstr>ЦХөлс аймагт</vt:lpstr>
      <vt:lpstr>Sheet1</vt:lpstr>
      <vt:lpstr>Sheet2</vt:lpstr>
      <vt:lpstr>Sheet3</vt:lpstr>
      <vt:lpstr>'ОНТО-2'!Print_Area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2022-03-21T02:59:33Z</dcterms:modified>
</cp:coreProperties>
</file>